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Z:\СОВЕТ ДЕПУТАТОВ _8 СОЗЫВ (2025-2030)\2025\03 НОЯБРЬ 20.11.2025\Уточнение бюджета 2025  13.11.2025\"/>
    </mc:Choice>
  </mc:AlternateContent>
  <xr:revisionPtr revIDLastSave="0" documentId="13_ncr:1_{02863670-5EC3-46CC-BBBA-6B7ABDE98277}" xr6:coauthVersionLast="47" xr6:coauthVersionMax="47" xr10:uidLastSave="{00000000-0000-0000-0000-000000000000}"/>
  <bookViews>
    <workbookView xWindow="2295" yWindow="2295" windowWidth="21600" windowHeight="11340" tabRatio="555" xr2:uid="{00000000-000D-0000-FFFF-FFFF00000000}"/>
  </bookViews>
  <sheets>
    <sheet name="Функц. 2025-2027" sheetId="7" r:id="rId1"/>
    <sheet name="Целевые 2025-2027" sheetId="9" state="hidden" r:id="rId2"/>
    <sheet name="Р., Пр.2025-2027" sheetId="10" state="hidden" r:id="rId3"/>
    <sheet name="ведом. 2025-2027" sheetId="2" state="hidden" r:id="rId4"/>
    <sheet name="Лист1" sheetId="11" state="hidden" r:id="rId5"/>
    <sheet name="Лист2" sheetId="12" state="hidden" r:id="rId6"/>
  </sheets>
  <definedNames>
    <definedName name="_xlnm.Print_Titles" localSheetId="3">'ведом. 2025-2027'!$10:$11</definedName>
    <definedName name="_xlnm.Print_Titles" localSheetId="0">'Функц. 2025-2027'!$13:$14</definedName>
    <definedName name="_xlnm.Print_Titles" localSheetId="1">'Целевые 2025-2027'!$11:$12</definedName>
    <definedName name="_xlnm.Print_Area" localSheetId="3">'ведом. 2025-2027'!$H$2:$AF$1147</definedName>
    <definedName name="_xlnm.Print_Area" localSheetId="2">'Р., Пр.2025-2027'!$A$1:$F$65</definedName>
    <definedName name="_xlnm.Print_Area" localSheetId="0">'Функц. 2025-2027'!$A$1:$K$987</definedName>
    <definedName name="_xlnm.Print_Area" localSheetId="1">'Целевые 2025-2027'!$A$1:$F$811</definedName>
  </definedNames>
  <calcPr calcId="191029"/>
</workbook>
</file>

<file path=xl/calcChain.xml><?xml version="1.0" encoding="utf-8"?>
<calcChain xmlns="http://schemas.openxmlformats.org/spreadsheetml/2006/main">
  <c r="AD1023" i="2" l="1"/>
  <c r="E787" i="9" l="1"/>
  <c r="E786" i="9" s="1"/>
  <c r="F787" i="9"/>
  <c r="F786" i="9" s="1"/>
  <c r="J131" i="7"/>
  <c r="F21" i="10" s="1"/>
  <c r="H131" i="7"/>
  <c r="E21" i="10" s="1"/>
  <c r="F131" i="7"/>
  <c r="F130" i="7" s="1"/>
  <c r="F129" i="7" s="1"/>
  <c r="F128" i="7" s="1"/>
  <c r="F127" i="7" s="1"/>
  <c r="AF72" i="2"/>
  <c r="AF71" i="2" s="1"/>
  <c r="AF70" i="2" s="1"/>
  <c r="AF69" i="2" s="1"/>
  <c r="AE72" i="2"/>
  <c r="AE71" i="2" s="1"/>
  <c r="AE70" i="2" s="1"/>
  <c r="AE69" i="2" s="1"/>
  <c r="AD72" i="2"/>
  <c r="AD71" i="2" s="1"/>
  <c r="AD70" i="2" s="1"/>
  <c r="AD69" i="2" s="1"/>
  <c r="J130" i="7" l="1"/>
  <c r="J129" i="7" s="1"/>
  <c r="J128" i="7" s="1"/>
  <c r="J127" i="7" s="1"/>
  <c r="H130" i="7"/>
  <c r="H129" i="7" s="1"/>
  <c r="H128" i="7" s="1"/>
  <c r="H127" i="7" s="1"/>
  <c r="D788" i="9"/>
  <c r="D787" i="9" s="1"/>
  <c r="D786" i="9" s="1"/>
  <c r="D21" i="10"/>
  <c r="F567" i="7"/>
  <c r="F566" i="7" s="1"/>
  <c r="F565" i="7" s="1"/>
  <c r="J567" i="7"/>
  <c r="J566" i="7" s="1"/>
  <c r="J565" i="7" s="1"/>
  <c r="H567" i="7"/>
  <c r="H566" i="7" s="1"/>
  <c r="H565" i="7" s="1"/>
  <c r="AE349" i="2"/>
  <c r="AF349" i="2"/>
  <c r="AF348" i="2" s="1"/>
  <c r="AE348" i="2"/>
  <c r="AD349" i="2"/>
  <c r="AD348" i="2" s="1"/>
  <c r="AF353" i="2"/>
  <c r="AE353" i="2"/>
  <c r="D711" i="9" l="1"/>
  <c r="D710" i="9" s="1"/>
  <c r="D709" i="9" s="1"/>
  <c r="E711" i="9"/>
  <c r="E710" i="9" s="1"/>
  <c r="E709" i="9" s="1"/>
  <c r="F711" i="9"/>
  <c r="F710" i="9" s="1"/>
  <c r="F709" i="9" s="1"/>
  <c r="F878" i="7"/>
  <c r="F877" i="7" s="1"/>
  <c r="F876" i="7" s="1"/>
  <c r="J878" i="7"/>
  <c r="J877" i="7" s="1"/>
  <c r="J876" i="7" s="1"/>
  <c r="H878" i="7"/>
  <c r="H877" i="7" s="1"/>
  <c r="H876" i="7" s="1"/>
  <c r="AE472" i="2"/>
  <c r="AE471" i="2" s="1"/>
  <c r="AF472" i="2"/>
  <c r="AF471" i="2" s="1"/>
  <c r="AD472" i="2"/>
  <c r="AD471" i="2" s="1"/>
  <c r="D74" i="9" l="1"/>
  <c r="D73" i="9" s="1"/>
  <c r="D72" i="9" s="1"/>
  <c r="E74" i="9"/>
  <c r="E73" i="9" s="1"/>
  <c r="E72" i="9" s="1"/>
  <c r="F74" i="9"/>
  <c r="F73" i="9" s="1"/>
  <c r="F72" i="9" s="1"/>
  <c r="G878" i="7"/>
  <c r="G877" i="7" s="1"/>
  <c r="G876" i="7" s="1"/>
  <c r="AD440" i="2"/>
  <c r="AD428" i="2"/>
  <c r="F621" i="7" l="1"/>
  <c r="AD741" i="2"/>
  <c r="J978" i="7"/>
  <c r="F268" i="9" s="1"/>
  <c r="F267" i="9" s="1"/>
  <c r="F266" i="9" s="1"/>
  <c r="F265" i="9" s="1"/>
  <c r="H978" i="7"/>
  <c r="H977" i="7" s="1"/>
  <c r="H976" i="7" s="1"/>
  <c r="H975" i="7" s="1"/>
  <c r="F978" i="7"/>
  <c r="F977" i="7" s="1"/>
  <c r="F976" i="7" s="1"/>
  <c r="F975" i="7" s="1"/>
  <c r="AE542" i="2"/>
  <c r="AF542" i="2"/>
  <c r="AF541" i="2" s="1"/>
  <c r="AF540" i="2" s="1"/>
  <c r="AE541" i="2"/>
  <c r="AE540" i="2" s="1"/>
  <c r="AD542" i="2"/>
  <c r="AD541" i="2" s="1"/>
  <c r="AD540" i="2" s="1"/>
  <c r="AD330" i="2"/>
  <c r="E268" i="9" l="1"/>
  <c r="E267" i="9" s="1"/>
  <c r="E266" i="9" s="1"/>
  <c r="E265" i="9" s="1"/>
  <c r="J977" i="7"/>
  <c r="J976" i="7" s="1"/>
  <c r="J975" i="7" s="1"/>
  <c r="G978" i="7"/>
  <c r="G977" i="7" s="1"/>
  <c r="G976" i="7" s="1"/>
  <c r="G975" i="7" s="1"/>
  <c r="G970" i="7" s="1"/>
  <c r="G969" i="7" s="1"/>
  <c r="G968" i="7" s="1"/>
  <c r="G953" i="7" s="1"/>
  <c r="D268" i="9"/>
  <c r="D267" i="9" s="1"/>
  <c r="D266" i="9" s="1"/>
  <c r="D265" i="9" s="1"/>
  <c r="AD20" i="2"/>
  <c r="AD609" i="2"/>
  <c r="AD613" i="2"/>
  <c r="AD635" i="2"/>
  <c r="AD499" i="2"/>
  <c r="AD539" i="2"/>
  <c r="AD46" i="2"/>
  <c r="AD644" i="2"/>
  <c r="AD971" i="2" l="1"/>
  <c r="AD747" i="2" l="1"/>
  <c r="AD108" i="2" l="1"/>
  <c r="AE108" i="2"/>
  <c r="AD210" i="2" l="1"/>
  <c r="J810" i="7" l="1"/>
  <c r="H810" i="7"/>
  <c r="AE408" i="2"/>
  <c r="AF408" i="2"/>
  <c r="AD408" i="2"/>
  <c r="AD407" i="2"/>
  <c r="G527" i="9"/>
  <c r="H527" i="9"/>
  <c r="I527" i="9"/>
  <c r="J527" i="9"/>
  <c r="K527" i="9"/>
  <c r="L527" i="9"/>
  <c r="M527" i="9"/>
  <c r="N527" i="9"/>
  <c r="O527" i="9"/>
  <c r="P527" i="9"/>
  <c r="Q527" i="9"/>
  <c r="R527" i="9"/>
  <c r="S527" i="9"/>
  <c r="T527" i="9"/>
  <c r="U527" i="9"/>
  <c r="V527" i="9"/>
  <c r="W527" i="9"/>
  <c r="X527" i="9"/>
  <c r="Y527" i="9"/>
  <c r="Z527" i="9"/>
  <c r="AA527" i="9"/>
  <c r="AB527" i="9"/>
  <c r="AC527" i="9"/>
  <c r="AD527" i="9"/>
  <c r="J180" i="7"/>
  <c r="J179" i="7" s="1"/>
  <c r="J178" i="7" s="1"/>
  <c r="H180" i="7"/>
  <c r="H179" i="7" s="1"/>
  <c r="H178" i="7" s="1"/>
  <c r="F180" i="7"/>
  <c r="D528" i="9" s="1"/>
  <c r="D527" i="9" s="1"/>
  <c r="D526" i="9" s="1"/>
  <c r="AE104" i="2"/>
  <c r="AE103" i="2" s="1"/>
  <c r="AF104" i="2"/>
  <c r="AF103" i="2" s="1"/>
  <c r="AD104" i="2"/>
  <c r="AD103" i="2" s="1"/>
  <c r="F179" i="7" l="1"/>
  <c r="F178" i="7" s="1"/>
  <c r="E528" i="9"/>
  <c r="E527" i="9" s="1"/>
  <c r="E526" i="9" s="1"/>
  <c r="F528" i="9"/>
  <c r="F527" i="9" s="1"/>
  <c r="F526" i="9" s="1"/>
  <c r="AD189" i="2"/>
  <c r="AD185" i="2"/>
  <c r="AD708" i="2" l="1"/>
  <c r="AD735" i="2"/>
  <c r="AD852" i="2"/>
  <c r="F810" i="7" s="1"/>
  <c r="AD827" i="2"/>
  <c r="AD683" i="2"/>
  <c r="AD657" i="2"/>
  <c r="AD336" i="2"/>
  <c r="AD986" i="2"/>
  <c r="AD935" i="2"/>
  <c r="AD917" i="2"/>
  <c r="AD1038" i="2"/>
  <c r="AD1042" i="2"/>
  <c r="AD1012" i="2"/>
  <c r="AD675" i="2" l="1"/>
  <c r="AD198" i="2"/>
  <c r="AD469" i="2"/>
  <c r="AD400" i="2"/>
  <c r="F783" i="7" s="1"/>
  <c r="AD1124" i="2"/>
  <c r="AD1129" i="2"/>
  <c r="AD571" i="2" l="1"/>
  <c r="AD567" i="2"/>
  <c r="AD564" i="2"/>
  <c r="AD593" i="2"/>
  <c r="AD731" i="2" l="1"/>
  <c r="AD820" i="2"/>
  <c r="AD819" i="2"/>
  <c r="AD738" i="2"/>
  <c r="G628" i="9"/>
  <c r="H628" i="9"/>
  <c r="I628" i="9"/>
  <c r="J628" i="9"/>
  <c r="K628" i="9"/>
  <c r="L628" i="9"/>
  <c r="M628" i="9"/>
  <c r="N628" i="9"/>
  <c r="O628" i="9"/>
  <c r="P628" i="9"/>
  <c r="Q628" i="9"/>
  <c r="R628" i="9"/>
  <c r="S628" i="9"/>
  <c r="T628" i="9"/>
  <c r="U628" i="9"/>
  <c r="V628" i="9"/>
  <c r="W628" i="9"/>
  <c r="X628" i="9"/>
  <c r="Y628" i="9"/>
  <c r="Z628" i="9"/>
  <c r="AA628" i="9"/>
  <c r="AB628" i="9"/>
  <c r="AC628" i="9"/>
  <c r="AD628" i="9"/>
  <c r="AD127" i="2"/>
  <c r="AD313" i="2" l="1"/>
  <c r="AD82" i="2"/>
  <c r="AD504" i="2"/>
  <c r="AD551" i="2"/>
  <c r="AD110" i="2"/>
  <c r="AE313" i="2" l="1"/>
  <c r="AD310" i="2" l="1"/>
  <c r="G457" i="7" l="1"/>
  <c r="AD977" i="2"/>
  <c r="F808" i="7"/>
  <c r="G752" i="7" l="1"/>
  <c r="G751" i="7" s="1"/>
  <c r="G743" i="7" s="1"/>
  <c r="G742" i="7" s="1"/>
  <c r="J753" i="7"/>
  <c r="J752" i="7" s="1"/>
  <c r="J751" i="7" s="1"/>
  <c r="H753" i="7"/>
  <c r="H752" i="7" s="1"/>
  <c r="H751" i="7" s="1"/>
  <c r="F753" i="7"/>
  <c r="D184" i="9" s="1"/>
  <c r="D183" i="9" s="1"/>
  <c r="D182" i="9" s="1"/>
  <c r="AE813" i="2"/>
  <c r="AE812" i="2" s="1"/>
  <c r="AF813" i="2"/>
  <c r="AF812" i="2" s="1"/>
  <c r="AD813" i="2"/>
  <c r="AD812" i="2" s="1"/>
  <c r="G88" i="7"/>
  <c r="G87" i="7" s="1"/>
  <c r="G85" i="7"/>
  <c r="G84" i="7" s="1"/>
  <c r="J86" i="7"/>
  <c r="H86" i="7"/>
  <c r="F86" i="7"/>
  <c r="F85" i="7" s="1"/>
  <c r="F84" i="7" s="1"/>
  <c r="J89" i="7"/>
  <c r="H89" i="7"/>
  <c r="F89" i="7"/>
  <c r="D810" i="9" s="1"/>
  <c r="D809" i="9" s="1"/>
  <c r="D808" i="9" s="1"/>
  <c r="AE59" i="2"/>
  <c r="AE58" i="2" s="1"/>
  <c r="AE57" i="2" s="1"/>
  <c r="AF59" i="2"/>
  <c r="AF58" i="2" s="1"/>
  <c r="AF57" i="2" s="1"/>
  <c r="AE62" i="2"/>
  <c r="AE61" i="2" s="1"/>
  <c r="AF62" i="2"/>
  <c r="AF61" i="2" s="1"/>
  <c r="AD62" i="2"/>
  <c r="AD61" i="2" s="1"/>
  <c r="AD59" i="2"/>
  <c r="AD58" i="2" s="1"/>
  <c r="J85" i="7" l="1"/>
  <c r="J84" i="7" s="1"/>
  <c r="F807" i="9"/>
  <c r="F806" i="9" s="1"/>
  <c r="F805" i="9" s="1"/>
  <c r="H85" i="7"/>
  <c r="H84" i="7" s="1"/>
  <c r="E807" i="9"/>
  <c r="E806" i="9" s="1"/>
  <c r="E805" i="9" s="1"/>
  <c r="J88" i="7"/>
  <c r="J87" i="7" s="1"/>
  <c r="F810" i="9"/>
  <c r="F809" i="9" s="1"/>
  <c r="F808" i="9" s="1"/>
  <c r="H88" i="7"/>
  <c r="H87" i="7" s="1"/>
  <c r="E810" i="9"/>
  <c r="E809" i="9" s="1"/>
  <c r="E808" i="9" s="1"/>
  <c r="G83" i="7"/>
  <c r="F752" i="7"/>
  <c r="F751" i="7" s="1"/>
  <c r="E184" i="9"/>
  <c r="E183" i="9" s="1"/>
  <c r="E182" i="9" s="1"/>
  <c r="F184" i="9"/>
  <c r="F183" i="9" s="1"/>
  <c r="F182" i="9" s="1"/>
  <c r="AD57" i="2"/>
  <c r="F88" i="7"/>
  <c r="F87" i="7" s="1"/>
  <c r="F83" i="7" s="1"/>
  <c r="D807" i="9"/>
  <c r="D806" i="9" s="1"/>
  <c r="D805" i="9" s="1"/>
  <c r="H83" i="7" l="1"/>
  <c r="J83" i="7"/>
  <c r="AD663" i="2"/>
  <c r="AD660" i="2"/>
  <c r="AD50" i="2"/>
  <c r="AD223" i="2"/>
  <c r="AD296" i="2"/>
  <c r="AD196" i="2"/>
  <c r="AD219" i="2"/>
  <c r="AD228" i="2"/>
  <c r="AD162" i="2"/>
  <c r="AD68" i="2" l="1"/>
  <c r="AD1065" i="2" l="1"/>
  <c r="AD1063" i="2"/>
  <c r="AD40" i="2"/>
  <c r="AD38" i="2"/>
  <c r="AD532" i="2" l="1"/>
  <c r="AD529" i="2"/>
  <c r="AD974" i="2"/>
  <c r="AD619" i="2"/>
  <c r="AF626" i="2"/>
  <c r="AF625" i="2" s="1"/>
  <c r="AF624" i="2" s="1"/>
  <c r="AF623" i="2" s="1"/>
  <c r="AE626" i="2"/>
  <c r="AE625" i="2" s="1"/>
  <c r="AE624" i="2" s="1"/>
  <c r="AE623" i="2" s="1"/>
  <c r="AD626" i="2"/>
  <c r="AD625" i="2" s="1"/>
  <c r="AD624" i="2" s="1"/>
  <c r="AD623" i="2" s="1"/>
  <c r="AD584" i="2"/>
  <c r="AD583" i="2" s="1"/>
  <c r="AD582" i="2" s="1"/>
  <c r="AF584" i="2"/>
  <c r="AF583" i="2" s="1"/>
  <c r="AF582" i="2" s="1"/>
  <c r="AF581" i="2" s="1"/>
  <c r="AF580" i="2" s="1"/>
  <c r="AE584" i="2"/>
  <c r="AE583" i="2" s="1"/>
  <c r="AE582" i="2" s="1"/>
  <c r="AE581" i="2" s="1"/>
  <c r="AE580" i="2" s="1"/>
  <c r="AD667" i="2"/>
  <c r="AD455" i="2"/>
  <c r="AD453" i="2"/>
  <c r="AD102" i="2"/>
  <c r="AD100" i="2"/>
  <c r="G454" i="7"/>
  <c r="AE621" i="2" l="1"/>
  <c r="AE620" i="2" s="1"/>
  <c r="AE622" i="2"/>
  <c r="AF621" i="2"/>
  <c r="AF620" i="2" s="1"/>
  <c r="AF622" i="2"/>
  <c r="AD621" i="2"/>
  <c r="AD620" i="2" s="1"/>
  <c r="AD622" i="2"/>
  <c r="AD581" i="2"/>
  <c r="AD580" i="2" s="1"/>
  <c r="AE579" i="2"/>
  <c r="AE578" i="2" s="1"/>
  <c r="AF579" i="2"/>
  <c r="AF578" i="2" s="1"/>
  <c r="AD579" i="2" l="1"/>
  <c r="AD578" i="2" s="1"/>
  <c r="AE1026" i="2" l="1"/>
  <c r="G431" i="7" l="1"/>
  <c r="AE948" i="2"/>
  <c r="AD951" i="2"/>
  <c r="AE992" i="2" l="1"/>
  <c r="AE1029" i="2"/>
  <c r="G425" i="7" l="1"/>
  <c r="K425" i="7"/>
  <c r="H428" i="7"/>
  <c r="H427" i="7" s="1"/>
  <c r="H426" i="7" s="1"/>
  <c r="H425" i="7" s="1"/>
  <c r="J428" i="7"/>
  <c r="J427" i="7" s="1"/>
  <c r="J426" i="7" s="1"/>
  <c r="J425" i="7" s="1"/>
  <c r="I427" i="7"/>
  <c r="I426" i="7" s="1"/>
  <c r="I425" i="7" s="1"/>
  <c r="F428" i="7"/>
  <c r="D396" i="9" s="1"/>
  <c r="D395" i="9" s="1"/>
  <c r="D394" i="9" s="1"/>
  <c r="D393" i="9" s="1"/>
  <c r="AF947" i="2"/>
  <c r="AF946" i="2" s="1"/>
  <c r="AF945" i="2" s="1"/>
  <c r="AE947" i="2"/>
  <c r="AE946" i="2" s="1"/>
  <c r="AE945" i="2" s="1"/>
  <c r="AD947" i="2"/>
  <c r="AD946" i="2" s="1"/>
  <c r="AD945" i="2" s="1"/>
  <c r="F427" i="7" l="1"/>
  <c r="F426" i="7" s="1"/>
  <c r="F425" i="7" s="1"/>
  <c r="F396" i="9"/>
  <c r="F395" i="9" s="1"/>
  <c r="F394" i="9" s="1"/>
  <c r="F393" i="9" s="1"/>
  <c r="E396" i="9"/>
  <c r="E395" i="9" s="1"/>
  <c r="E394" i="9" s="1"/>
  <c r="E393" i="9" s="1"/>
  <c r="I480" i="7"/>
  <c r="I479" i="7" s="1"/>
  <c r="I478" i="7" s="1"/>
  <c r="I477" i="7" s="1"/>
  <c r="I476" i="7" s="1"/>
  <c r="AD886" i="2" l="1"/>
  <c r="AD922" i="2"/>
  <c r="AD432" i="2" l="1"/>
  <c r="AF851" i="2"/>
  <c r="AF850" i="2" s="1"/>
  <c r="AE851" i="2"/>
  <c r="AE850" i="2" s="1"/>
  <c r="AD851" i="2"/>
  <c r="AD850" i="2" s="1"/>
  <c r="G818" i="7"/>
  <c r="G821" i="7"/>
  <c r="G814" i="7"/>
  <c r="AD856" i="2"/>
  <c r="AD859" i="2"/>
  <c r="AD413" i="2"/>
  <c r="AE922" i="2" l="1"/>
  <c r="AD999" i="2"/>
  <c r="AD711" i="2"/>
  <c r="J167" i="7" l="1"/>
  <c r="J166" i="7" s="1"/>
  <c r="J164" i="7" s="1"/>
  <c r="H167" i="7"/>
  <c r="H166" i="7" s="1"/>
  <c r="H164" i="7" s="1"/>
  <c r="F167" i="7"/>
  <c r="F166" i="7" s="1"/>
  <c r="F164" i="7" s="1"/>
  <c r="AE891" i="2"/>
  <c r="AE890" i="2" s="1"/>
  <c r="AE889" i="2" s="1"/>
  <c r="AE888" i="2" s="1"/>
  <c r="AE887" i="2" s="1"/>
  <c r="AF891" i="2"/>
  <c r="AF890" i="2" s="1"/>
  <c r="AF889" i="2" s="1"/>
  <c r="AF888" i="2" s="1"/>
  <c r="AF887" i="2" s="1"/>
  <c r="AD891" i="2"/>
  <c r="AD890" i="2" s="1"/>
  <c r="AD889" i="2" s="1"/>
  <c r="AD888" i="2" s="1"/>
  <c r="AD887" i="2" s="1"/>
  <c r="AD155" i="2"/>
  <c r="J461" i="7"/>
  <c r="F429" i="9" s="1"/>
  <c r="F428" i="9" s="1"/>
  <c r="F427" i="9" s="1"/>
  <c r="F426" i="9" s="1"/>
  <c r="H461" i="7"/>
  <c r="E429" i="9" s="1"/>
  <c r="E428" i="9" s="1"/>
  <c r="E427" i="9" s="1"/>
  <c r="E426" i="9" s="1"/>
  <c r="F461" i="7"/>
  <c r="D429" i="9" s="1"/>
  <c r="D428" i="9" s="1"/>
  <c r="D427" i="9" s="1"/>
  <c r="D426" i="9" s="1"/>
  <c r="AE980" i="2"/>
  <c r="AE979" i="2" s="1"/>
  <c r="AE978" i="2" s="1"/>
  <c r="AF980" i="2"/>
  <c r="AF979" i="2" s="1"/>
  <c r="AF978" i="2" s="1"/>
  <c r="AD980" i="2"/>
  <c r="AD979" i="2" s="1"/>
  <c r="AD978" i="2" s="1"/>
  <c r="AD909" i="2"/>
  <c r="J344" i="7"/>
  <c r="J343" i="7" s="1"/>
  <c r="J342" i="7" s="1"/>
  <c r="J341" i="7" s="1"/>
  <c r="H344" i="7"/>
  <c r="H343" i="7" s="1"/>
  <c r="H342" i="7" s="1"/>
  <c r="H341" i="7" s="1"/>
  <c r="F344" i="7"/>
  <c r="F343" i="7" s="1"/>
  <c r="F342" i="7" s="1"/>
  <c r="F341" i="7" s="1"/>
  <c r="AE912" i="2"/>
  <c r="AE911" i="2" s="1"/>
  <c r="AE910" i="2" s="1"/>
  <c r="AF912" i="2"/>
  <c r="AF911" i="2" s="1"/>
  <c r="AF910" i="2" s="1"/>
  <c r="AD912" i="2"/>
  <c r="AD911" i="2" s="1"/>
  <c r="AD910" i="2" s="1"/>
  <c r="F165" i="7" l="1"/>
  <c r="J165" i="7"/>
  <c r="H165" i="7"/>
  <c r="F460" i="7"/>
  <c r="F459" i="7" s="1"/>
  <c r="F458" i="7" s="1"/>
  <c r="J460" i="7"/>
  <c r="J459" i="7" s="1"/>
  <c r="J458" i="7" s="1"/>
  <c r="H460" i="7"/>
  <c r="H459" i="7" s="1"/>
  <c r="H458" i="7" s="1"/>
  <c r="F612" i="9"/>
  <c r="F611" i="9" s="1"/>
  <c r="F610" i="9" s="1"/>
  <c r="F609" i="9" s="1"/>
  <c r="D612" i="9"/>
  <c r="D611" i="9" s="1"/>
  <c r="D610" i="9" s="1"/>
  <c r="D609" i="9" s="1"/>
  <c r="E612" i="9"/>
  <c r="E611" i="9" s="1"/>
  <c r="E610" i="9" s="1"/>
  <c r="E609" i="9" s="1"/>
  <c r="J808" i="7" l="1"/>
  <c r="J807" i="7" s="1"/>
  <c r="H808" i="7"/>
  <c r="H807" i="7" s="1"/>
  <c r="D218" i="9"/>
  <c r="D217" i="9" s="1"/>
  <c r="AE406" i="2"/>
  <c r="AE405" i="2" s="1"/>
  <c r="AF406" i="2"/>
  <c r="AF405" i="2" s="1"/>
  <c r="AD406" i="2"/>
  <c r="AD405" i="2" s="1"/>
  <c r="J555" i="7"/>
  <c r="J554" i="7" s="1"/>
  <c r="J553" i="7" s="1"/>
  <c r="H555" i="7"/>
  <c r="H554" i="7" s="1"/>
  <c r="H553" i="7" s="1"/>
  <c r="F555" i="7"/>
  <c r="D696" i="9" s="1"/>
  <c r="D695" i="9" s="1"/>
  <c r="D694" i="9" s="1"/>
  <c r="AE346" i="2"/>
  <c r="AE345" i="2" s="1"/>
  <c r="AF346" i="2"/>
  <c r="AF345" i="2" s="1"/>
  <c r="AD346" i="2"/>
  <c r="AD345" i="2" s="1"/>
  <c r="AD251" i="2"/>
  <c r="F807" i="7" l="1"/>
  <c r="E218" i="9"/>
  <c r="E217" i="9" s="1"/>
  <c r="F218" i="9"/>
  <c r="F217" i="9" s="1"/>
  <c r="F696" i="9"/>
  <c r="F695" i="9" s="1"/>
  <c r="F694" i="9" s="1"/>
  <c r="E696" i="9"/>
  <c r="E695" i="9" s="1"/>
  <c r="E694" i="9" s="1"/>
  <c r="F554" i="7"/>
  <c r="F553" i="7" s="1"/>
  <c r="AD237" i="2"/>
  <c r="AD290" i="2"/>
  <c r="AD465" i="2"/>
  <c r="AD244" i="2"/>
  <c r="AD212" i="2"/>
  <c r="AD56" i="2"/>
  <c r="AD646" i="2"/>
  <c r="AD764" i="2"/>
  <c r="J741" i="7" l="1"/>
  <c r="J740" i="7" s="1"/>
  <c r="J739" i="7" s="1"/>
  <c r="H741" i="7"/>
  <c r="H740" i="7" s="1"/>
  <c r="H739" i="7" s="1"/>
  <c r="F741" i="7"/>
  <c r="G741" i="7" s="1"/>
  <c r="G740" i="7" s="1"/>
  <c r="G739" i="7" s="1"/>
  <c r="AD801" i="2"/>
  <c r="AD800" i="2" s="1"/>
  <c r="AF801" i="2"/>
  <c r="AF800" i="2" s="1"/>
  <c r="AE801" i="2"/>
  <c r="AE800" i="2" s="1"/>
  <c r="AD750" i="2"/>
  <c r="AD720" i="2"/>
  <c r="AD799" i="2"/>
  <c r="AD714" i="2"/>
  <c r="F740" i="7" l="1"/>
  <c r="F739" i="7" s="1"/>
  <c r="J802" i="7"/>
  <c r="J801" i="7" s="1"/>
  <c r="H802" i="7"/>
  <c r="H801" i="7" s="1"/>
  <c r="F802" i="7"/>
  <c r="F801" i="7" s="1"/>
  <c r="AE845" i="2"/>
  <c r="AF845" i="2"/>
  <c r="AD845" i="2"/>
  <c r="AD844" i="2"/>
  <c r="F207" i="9" l="1"/>
  <c r="F206" i="9" s="1"/>
  <c r="D207" i="9"/>
  <c r="D206" i="9" s="1"/>
  <c r="E207" i="9"/>
  <c r="E206" i="9" s="1"/>
  <c r="H395" i="7"/>
  <c r="H394" i="7" s="1"/>
  <c r="H393" i="7" s="1"/>
  <c r="H392" i="7" s="1"/>
  <c r="H391" i="7" s="1"/>
  <c r="H390" i="7" s="1"/>
  <c r="J395" i="7"/>
  <c r="J394" i="7" s="1"/>
  <c r="J393" i="7" s="1"/>
  <c r="J392" i="7" s="1"/>
  <c r="J391" i="7" s="1"/>
  <c r="J390" i="7" s="1"/>
  <c r="F395" i="7"/>
  <c r="F394" i="7" s="1"/>
  <c r="F393" i="7" s="1"/>
  <c r="F392" i="7" s="1"/>
  <c r="F391" i="7" s="1"/>
  <c r="F390" i="7" s="1"/>
  <c r="AE281" i="2"/>
  <c r="AE280" i="2" s="1"/>
  <c r="AE279" i="2" s="1"/>
  <c r="AE278" i="2" s="1"/>
  <c r="AE277" i="2" s="1"/>
  <c r="AF281" i="2"/>
  <c r="AF280" i="2" s="1"/>
  <c r="AF279" i="2" s="1"/>
  <c r="AF278" i="2" s="1"/>
  <c r="AF277" i="2" s="1"/>
  <c r="AD281" i="2"/>
  <c r="AD280" i="2" s="1"/>
  <c r="AD279" i="2" s="1"/>
  <c r="AD278" i="2" s="1"/>
  <c r="AD277" i="2" s="1"/>
  <c r="D443" i="9" l="1"/>
  <c r="D442" i="9" s="1"/>
  <c r="D441" i="9" s="1"/>
  <c r="D440" i="9" s="1"/>
  <c r="D439" i="9" s="1"/>
  <c r="D438" i="9" s="1"/>
  <c r="E443" i="9"/>
  <c r="E442" i="9" s="1"/>
  <c r="E441" i="9" s="1"/>
  <c r="E440" i="9" s="1"/>
  <c r="E439" i="9" s="1"/>
  <c r="E438" i="9" s="1"/>
  <c r="F443" i="9"/>
  <c r="F442" i="9" s="1"/>
  <c r="F441" i="9" s="1"/>
  <c r="F440" i="9" s="1"/>
  <c r="F439" i="9" s="1"/>
  <c r="F438" i="9" s="1"/>
  <c r="AD1029" i="2"/>
  <c r="J750" i="7"/>
  <c r="H750" i="7"/>
  <c r="AD811" i="2"/>
  <c r="F750" i="7" s="1"/>
  <c r="AD315" i="2" l="1"/>
  <c r="AD835" i="2"/>
  <c r="AD1132" i="2" l="1"/>
  <c r="AD1135" i="2"/>
  <c r="J469" i="7"/>
  <c r="H469" i="7"/>
  <c r="F469" i="7"/>
  <c r="G469" i="7" s="1"/>
  <c r="G468" i="7" s="1"/>
  <c r="G467" i="7" s="1"/>
  <c r="J502" i="7"/>
  <c r="J501" i="7" s="1"/>
  <c r="J500" i="7" s="1"/>
  <c r="J499" i="7" s="1"/>
  <c r="J498" i="7" s="1"/>
  <c r="J497" i="7" s="1"/>
  <c r="J496" i="7" s="1"/>
  <c r="H502" i="7"/>
  <c r="H501" i="7" s="1"/>
  <c r="H500" i="7" s="1"/>
  <c r="H499" i="7" s="1"/>
  <c r="H498" i="7" s="1"/>
  <c r="H497" i="7" s="1"/>
  <c r="H496" i="7" s="1"/>
  <c r="F502" i="7"/>
  <c r="F501" i="7" s="1"/>
  <c r="F500" i="7" s="1"/>
  <c r="F499" i="7" s="1"/>
  <c r="F498" i="7" s="1"/>
  <c r="F497" i="7" s="1"/>
  <c r="F496" i="7" s="1"/>
  <c r="AE323" i="2"/>
  <c r="AE322" i="2" s="1"/>
  <c r="AE321" i="2" s="1"/>
  <c r="AE320" i="2" s="1"/>
  <c r="AE319" i="2" s="1"/>
  <c r="AE318" i="2" s="1"/>
  <c r="AF323" i="2"/>
  <c r="AF322" i="2" s="1"/>
  <c r="AF321" i="2" s="1"/>
  <c r="AF320" i="2" s="1"/>
  <c r="AF319" i="2" s="1"/>
  <c r="AF318" i="2" s="1"/>
  <c r="AD323" i="2"/>
  <c r="AD322" i="2" s="1"/>
  <c r="AD321" i="2" s="1"/>
  <c r="AD320" i="2" s="1"/>
  <c r="AD319" i="2" s="1"/>
  <c r="AD318" i="2" s="1"/>
  <c r="AE302" i="2"/>
  <c r="AE301" i="2" s="1"/>
  <c r="AE300" i="2" s="1"/>
  <c r="AE299" i="2" s="1"/>
  <c r="AE298" i="2" s="1"/>
  <c r="AE297" i="2" s="1"/>
  <c r="AF302" i="2"/>
  <c r="AF301" i="2" s="1"/>
  <c r="AF300" i="2" s="1"/>
  <c r="AF299" i="2" s="1"/>
  <c r="AF298" i="2" s="1"/>
  <c r="AF297" i="2" s="1"/>
  <c r="AD302" i="2"/>
  <c r="AD301" i="2" s="1"/>
  <c r="AD300" i="2" s="1"/>
  <c r="AD299" i="2" s="1"/>
  <c r="AD298" i="2" s="1"/>
  <c r="AD297" i="2" s="1"/>
  <c r="AD387" i="2"/>
  <c r="AD143" i="2"/>
  <c r="J340" i="7"/>
  <c r="H340" i="7"/>
  <c r="F340" i="7"/>
  <c r="F339" i="7" s="1"/>
  <c r="F338" i="7" s="1"/>
  <c r="F337" i="7" s="1"/>
  <c r="AE908" i="2"/>
  <c r="AE907" i="2" s="1"/>
  <c r="AE906" i="2" s="1"/>
  <c r="AF908" i="2"/>
  <c r="AF907" i="2" s="1"/>
  <c r="AF906" i="2" s="1"/>
  <c r="AD908" i="2"/>
  <c r="AD907" i="2" s="1"/>
  <c r="AD906" i="2" s="1"/>
  <c r="J829" i="7"/>
  <c r="J828" i="7" s="1"/>
  <c r="J827" i="7" s="1"/>
  <c r="J826" i="7" s="1"/>
  <c r="J825" i="7" s="1"/>
  <c r="H829" i="7"/>
  <c r="H828" i="7" s="1"/>
  <c r="H827" i="7" s="1"/>
  <c r="H826" i="7" s="1"/>
  <c r="H825" i="7" s="1"/>
  <c r="F829" i="7"/>
  <c r="F828" i="7" s="1"/>
  <c r="F827" i="7" s="1"/>
  <c r="F826" i="7" s="1"/>
  <c r="F825" i="7" s="1"/>
  <c r="AE422" i="2"/>
  <c r="AE421" i="2" s="1"/>
  <c r="AE420" i="2" s="1"/>
  <c r="AE419" i="2" s="1"/>
  <c r="AF422" i="2"/>
  <c r="AF421" i="2" s="1"/>
  <c r="AF420" i="2" s="1"/>
  <c r="AF419" i="2" s="1"/>
  <c r="AD422" i="2"/>
  <c r="AD421" i="2" s="1"/>
  <c r="AD420" i="2" s="1"/>
  <c r="AD419" i="2" s="1"/>
  <c r="F608" i="9" l="1"/>
  <c r="F607" i="9" s="1"/>
  <c r="F606" i="9" s="1"/>
  <c r="F605" i="9" s="1"/>
  <c r="E608" i="9"/>
  <c r="E607" i="9" s="1"/>
  <c r="E606" i="9" s="1"/>
  <c r="E605" i="9" s="1"/>
  <c r="J339" i="7"/>
  <c r="J338" i="7" s="1"/>
  <c r="J337" i="7" s="1"/>
  <c r="H339" i="7"/>
  <c r="H338" i="7" s="1"/>
  <c r="H337" i="7" s="1"/>
  <c r="D608" i="9"/>
  <c r="D607" i="9" s="1"/>
  <c r="D606" i="9" s="1"/>
  <c r="D605" i="9" s="1"/>
  <c r="D24" i="9"/>
  <c r="D23" i="9" s="1"/>
  <c r="D22" i="9" s="1"/>
  <c r="D21" i="9" s="1"/>
  <c r="D20" i="9" s="1"/>
  <c r="E24" i="9"/>
  <c r="E23" i="9" s="1"/>
  <c r="E22" i="9" s="1"/>
  <c r="E21" i="9" s="1"/>
  <c r="E20" i="9" s="1"/>
  <c r="F24" i="9"/>
  <c r="F23" i="9" s="1"/>
  <c r="F22" i="9" s="1"/>
  <c r="F21" i="9" s="1"/>
  <c r="F20" i="9" s="1"/>
  <c r="AD395" i="2"/>
  <c r="AD393" i="2"/>
  <c r="J853" i="7" l="1"/>
  <c r="J852" i="7" s="1"/>
  <c r="J851" i="7" s="1"/>
  <c r="J850" i="7" s="1"/>
  <c r="H853" i="7"/>
  <c r="H852" i="7" s="1"/>
  <c r="H851" i="7" s="1"/>
  <c r="H850" i="7" s="1"/>
  <c r="F853" i="7"/>
  <c r="F852" i="7" s="1"/>
  <c r="F851" i="7" s="1"/>
  <c r="F850" i="7" s="1"/>
  <c r="AE446" i="2"/>
  <c r="AE445" i="2" s="1"/>
  <c r="AE444" i="2" s="1"/>
  <c r="AF446" i="2"/>
  <c r="AF445" i="2" s="1"/>
  <c r="AF444" i="2" s="1"/>
  <c r="AD446" i="2"/>
  <c r="AD445" i="2" s="1"/>
  <c r="AD444" i="2" s="1"/>
  <c r="D48" i="9" l="1"/>
  <c r="D47" i="9" s="1"/>
  <c r="D46" i="9" s="1"/>
  <c r="D45" i="9" s="1"/>
  <c r="E48" i="9"/>
  <c r="E47" i="9" s="1"/>
  <c r="E46" i="9" s="1"/>
  <c r="E45" i="9" s="1"/>
  <c r="F48" i="9"/>
  <c r="F47" i="9" s="1"/>
  <c r="F46" i="9" s="1"/>
  <c r="F45" i="9" s="1"/>
  <c r="G379" i="9" l="1"/>
  <c r="H379" i="9"/>
  <c r="I379" i="9"/>
  <c r="J379" i="9"/>
  <c r="K379" i="9"/>
  <c r="L379" i="9"/>
  <c r="M379" i="9"/>
  <c r="N379" i="9"/>
  <c r="O379" i="9"/>
  <c r="P379" i="9"/>
  <c r="Q379" i="9"/>
  <c r="R379" i="9"/>
  <c r="S379" i="9"/>
  <c r="T379" i="9"/>
  <c r="U379" i="9"/>
  <c r="V379" i="9"/>
  <c r="W379" i="9"/>
  <c r="X379" i="9"/>
  <c r="Y379" i="9"/>
  <c r="Z379" i="9"/>
  <c r="AA379" i="9"/>
  <c r="AB379" i="9"/>
  <c r="AC379" i="9"/>
  <c r="AD379" i="9"/>
  <c r="J422" i="7"/>
  <c r="F390" i="9" s="1"/>
  <c r="F389" i="9" s="1"/>
  <c r="F388" i="9" s="1"/>
  <c r="F387" i="9" s="1"/>
  <c r="H422" i="7"/>
  <c r="E390" i="9" s="1"/>
  <c r="E389" i="9" s="1"/>
  <c r="E388" i="9" s="1"/>
  <c r="E387" i="9" s="1"/>
  <c r="F422" i="7"/>
  <c r="D390" i="9" s="1"/>
  <c r="D389" i="9" s="1"/>
  <c r="D388" i="9" s="1"/>
  <c r="D387" i="9" s="1"/>
  <c r="AD518" i="2"/>
  <c r="AE941" i="2"/>
  <c r="AE940" i="2" s="1"/>
  <c r="AE939" i="2" s="1"/>
  <c r="AE938" i="2" s="1"/>
  <c r="AF941" i="2"/>
  <c r="AF940" i="2" s="1"/>
  <c r="AF939" i="2" s="1"/>
  <c r="AF938" i="2" s="1"/>
  <c r="AD941" i="2"/>
  <c r="AD940" i="2" s="1"/>
  <c r="AD939" i="2" s="1"/>
  <c r="AD938" i="2" s="1"/>
  <c r="D181" i="9"/>
  <c r="D180" i="9" s="1"/>
  <c r="D179" i="9" s="1"/>
  <c r="F181" i="9"/>
  <c r="F180" i="9" s="1"/>
  <c r="F179" i="9" s="1"/>
  <c r="E181" i="9"/>
  <c r="E180" i="9" s="1"/>
  <c r="E179" i="9" s="1"/>
  <c r="H749" i="7"/>
  <c r="H748" i="7" s="1"/>
  <c r="J749" i="7"/>
  <c r="J748" i="7" s="1"/>
  <c r="F749" i="7"/>
  <c r="F748" i="7" s="1"/>
  <c r="AE810" i="2"/>
  <c r="AE809" i="2" s="1"/>
  <c r="AF810" i="2"/>
  <c r="AF809" i="2" s="1"/>
  <c r="AD810" i="2"/>
  <c r="AD809" i="2" s="1"/>
  <c r="AD818" i="2"/>
  <c r="J421" i="7" l="1"/>
  <c r="J420" i="7" s="1"/>
  <c r="J419" i="7" s="1"/>
  <c r="J418" i="7" s="1"/>
  <c r="H421" i="7"/>
  <c r="H420" i="7" s="1"/>
  <c r="H419" i="7" s="1"/>
  <c r="H418" i="7" s="1"/>
  <c r="F421" i="7"/>
  <c r="F420" i="7" s="1"/>
  <c r="F419" i="7" s="1"/>
  <c r="F418" i="7" s="1"/>
  <c r="J220" i="7"/>
  <c r="H220" i="7"/>
  <c r="AE142" i="2"/>
  <c r="AE141" i="2" s="1"/>
  <c r="AF142" i="2"/>
  <c r="AF141" i="2" s="1"/>
  <c r="F220" i="7"/>
  <c r="AD142" i="2" l="1"/>
  <c r="AD141" i="2" s="1"/>
  <c r="J271" i="7" l="1"/>
  <c r="F324" i="9" s="1"/>
  <c r="F323" i="9" s="1"/>
  <c r="H271" i="7"/>
  <c r="E324" i="9" s="1"/>
  <c r="E323" i="9" s="1"/>
  <c r="F271" i="7"/>
  <c r="F270" i="7" s="1"/>
  <c r="AE190" i="2"/>
  <c r="AF190" i="2"/>
  <c r="AD190" i="2"/>
  <c r="AD808" i="2"/>
  <c r="H270" i="7" l="1"/>
  <c r="D324" i="9"/>
  <c r="D323" i="9" s="1"/>
  <c r="J270" i="7"/>
  <c r="I815" i="7" l="1"/>
  <c r="J816" i="7"/>
  <c r="F226" i="9" s="1"/>
  <c r="F225" i="9" s="1"/>
  <c r="H816" i="7"/>
  <c r="E226" i="9" s="1"/>
  <c r="E225" i="9" s="1"/>
  <c r="AD415" i="2"/>
  <c r="AD414" i="2" s="1"/>
  <c r="AF414" i="2"/>
  <c r="AE414" i="2"/>
  <c r="F816" i="7" l="1"/>
  <c r="D226" i="9" s="1"/>
  <c r="D225" i="9" s="1"/>
  <c r="J815" i="7"/>
  <c r="H815" i="7"/>
  <c r="F815" i="7" l="1"/>
  <c r="G83" i="9"/>
  <c r="H83" i="9"/>
  <c r="I83" i="9"/>
  <c r="J83" i="9"/>
  <c r="K83" i="9"/>
  <c r="L83" i="9"/>
  <c r="M83" i="9"/>
  <c r="N83" i="9"/>
  <c r="O83" i="9"/>
  <c r="P83" i="9"/>
  <c r="Q83" i="9"/>
  <c r="R83" i="9"/>
  <c r="S83" i="9"/>
  <c r="T83" i="9"/>
  <c r="U83" i="9"/>
  <c r="V83" i="9"/>
  <c r="W83" i="9"/>
  <c r="X83" i="9"/>
  <c r="Y83" i="9"/>
  <c r="Z83" i="9"/>
  <c r="AA83" i="9"/>
  <c r="AB83" i="9"/>
  <c r="AC83" i="9"/>
  <c r="AD83" i="9"/>
  <c r="J725" i="7"/>
  <c r="H725" i="7"/>
  <c r="F725" i="7"/>
  <c r="D86" i="9" s="1"/>
  <c r="D85" i="9" s="1"/>
  <c r="D84" i="9" s="1"/>
  <c r="AE372" i="2"/>
  <c r="AE371" i="2" s="1"/>
  <c r="AF372" i="2"/>
  <c r="AF371" i="2" s="1"/>
  <c r="AD372" i="2"/>
  <c r="AD371" i="2" s="1"/>
  <c r="E86" i="9" l="1"/>
  <c r="E85" i="9" s="1"/>
  <c r="E84" i="9" s="1"/>
  <c r="H724" i="7"/>
  <c r="H723" i="7" s="1"/>
  <c r="F86" i="9"/>
  <c r="F85" i="9" s="1"/>
  <c r="F84" i="9" s="1"/>
  <c r="J724" i="7"/>
  <c r="J723" i="7" s="1"/>
  <c r="F724" i="7"/>
  <c r="F723" i="7" s="1"/>
  <c r="G725" i="7"/>
  <c r="G724" i="7" s="1"/>
  <c r="G723" i="7" s="1"/>
  <c r="AD792" i="2"/>
  <c r="AD771" i="2"/>
  <c r="AD782" i="2"/>
  <c r="G556" i="9" l="1"/>
  <c r="H556" i="9"/>
  <c r="I556" i="9"/>
  <c r="J556" i="9"/>
  <c r="K556" i="9"/>
  <c r="L556" i="9"/>
  <c r="M556" i="9"/>
  <c r="N556" i="9"/>
  <c r="O556" i="9"/>
  <c r="P556" i="9"/>
  <c r="Q556" i="9"/>
  <c r="R556" i="9"/>
  <c r="S556" i="9"/>
  <c r="T556" i="9"/>
  <c r="U556" i="9"/>
  <c r="V556" i="9"/>
  <c r="W556" i="9"/>
  <c r="X556" i="9"/>
  <c r="Y556" i="9"/>
  <c r="Z556" i="9"/>
  <c r="AA556" i="9"/>
  <c r="AB556" i="9"/>
  <c r="AC556" i="9"/>
  <c r="AD556" i="9"/>
  <c r="G713" i="7"/>
  <c r="G712" i="7" s="1"/>
  <c r="G710" i="7" s="1"/>
  <c r="G709" i="7" s="1"/>
  <c r="G708" i="7" s="1"/>
  <c r="I713" i="7"/>
  <c r="I712" i="7" s="1"/>
  <c r="F571" i="9"/>
  <c r="F570" i="9" s="1"/>
  <c r="F569" i="9" s="1"/>
  <c r="F567" i="9" s="1"/>
  <c r="F566" i="9" s="1"/>
  <c r="F714" i="7"/>
  <c r="D571" i="9" s="1"/>
  <c r="D570" i="9" s="1"/>
  <c r="D569" i="9" s="1"/>
  <c r="D567" i="9" s="1"/>
  <c r="D566" i="9" s="1"/>
  <c r="AE791" i="2"/>
  <c r="AE790" i="2" s="1"/>
  <c r="AF791" i="2"/>
  <c r="AF790" i="2" s="1"/>
  <c r="AD791" i="2"/>
  <c r="AD790" i="2" s="1"/>
  <c r="I711" i="7" l="1"/>
  <c r="I710" i="7"/>
  <c r="I709" i="7" s="1"/>
  <c r="I708" i="7" s="1"/>
  <c r="G711" i="7"/>
  <c r="AF789" i="2"/>
  <c r="AF788" i="2"/>
  <c r="AF787" i="2" s="1"/>
  <c r="AF786" i="2" s="1"/>
  <c r="AE789" i="2"/>
  <c r="AE788" i="2"/>
  <c r="AE787" i="2" s="1"/>
  <c r="AE786" i="2" s="1"/>
  <c r="E571" i="9"/>
  <c r="E570" i="9" s="1"/>
  <c r="E569" i="9" s="1"/>
  <c r="E567" i="9" s="1"/>
  <c r="E566" i="9" s="1"/>
  <c r="F568" i="9"/>
  <c r="AD789" i="2"/>
  <c r="AD788" i="2"/>
  <c r="AD787" i="2" s="1"/>
  <c r="AD786" i="2" s="1"/>
  <c r="D568" i="9"/>
  <c r="F713" i="7"/>
  <c r="F712" i="7" s="1"/>
  <c r="E568" i="9" l="1"/>
  <c r="F710" i="7"/>
  <c r="F709" i="7" s="1"/>
  <c r="F708" i="7" s="1"/>
  <c r="F711" i="7"/>
  <c r="G416" i="9" l="1"/>
  <c r="H416" i="9"/>
  <c r="I416" i="9"/>
  <c r="J416" i="9"/>
  <c r="K416" i="9"/>
  <c r="L416" i="9"/>
  <c r="M416" i="9"/>
  <c r="N416" i="9"/>
  <c r="O416" i="9"/>
  <c r="P416" i="9"/>
  <c r="Q416" i="9"/>
  <c r="R416" i="9"/>
  <c r="S416" i="9"/>
  <c r="T416" i="9"/>
  <c r="U416" i="9"/>
  <c r="V416" i="9"/>
  <c r="W416" i="9"/>
  <c r="X416" i="9"/>
  <c r="Y416" i="9"/>
  <c r="Z416" i="9"/>
  <c r="AA416" i="9"/>
  <c r="AB416" i="9"/>
  <c r="AC416" i="9"/>
  <c r="AD416" i="9"/>
  <c r="G456" i="7"/>
  <c r="G455" i="7" s="1"/>
  <c r="J457" i="7"/>
  <c r="J456" i="7" s="1"/>
  <c r="J455" i="7" s="1"/>
  <c r="H457" i="7"/>
  <c r="H456" i="7" s="1"/>
  <c r="H455" i="7" s="1"/>
  <c r="AE976" i="2"/>
  <c r="AE975" i="2" s="1"/>
  <c r="AF976" i="2"/>
  <c r="AF975" i="2" s="1"/>
  <c r="AD976" i="2"/>
  <c r="AD975" i="2" s="1"/>
  <c r="F457" i="7" l="1"/>
  <c r="F456" i="7" s="1"/>
  <c r="F455" i="7" s="1"/>
  <c r="F425" i="9"/>
  <c r="F424" i="9" s="1"/>
  <c r="F423" i="9" s="1"/>
  <c r="E425" i="9"/>
  <c r="E424" i="9" s="1"/>
  <c r="E423" i="9" s="1"/>
  <c r="D425" i="9" l="1"/>
  <c r="D424" i="9" s="1"/>
  <c r="D423" i="9" s="1"/>
  <c r="J809" i="7"/>
  <c r="J806" i="7" s="1"/>
  <c r="H809" i="7"/>
  <c r="H806" i="7" s="1"/>
  <c r="D220" i="9"/>
  <c r="D219" i="9" s="1"/>
  <c r="D216" i="9" s="1"/>
  <c r="G444" i="7"/>
  <c r="G446" i="7"/>
  <c r="G445" i="7" s="1"/>
  <c r="J447" i="7"/>
  <c r="F415" i="9" s="1"/>
  <c r="F414" i="9" s="1"/>
  <c r="F413" i="9" s="1"/>
  <c r="H447" i="7"/>
  <c r="E415" i="9" s="1"/>
  <c r="E414" i="9" s="1"/>
  <c r="E413" i="9" s="1"/>
  <c r="AE966" i="2"/>
  <c r="AE965" i="2" s="1"/>
  <c r="AF966" i="2"/>
  <c r="AF965" i="2" s="1"/>
  <c r="AD967" i="2"/>
  <c r="F447" i="7" s="1"/>
  <c r="D415" i="9" s="1"/>
  <c r="D414" i="9" s="1"/>
  <c r="D413" i="9" s="1"/>
  <c r="AD964" i="2"/>
  <c r="AD966" i="2" l="1"/>
  <c r="AD965" i="2" s="1"/>
  <c r="F220" i="9"/>
  <c r="F219" i="9" s="1"/>
  <c r="F216" i="9" s="1"/>
  <c r="F809" i="7"/>
  <c r="F806" i="7" s="1"/>
  <c r="J446" i="7"/>
  <c r="J445" i="7" s="1"/>
  <c r="E220" i="9"/>
  <c r="E219" i="9" s="1"/>
  <c r="E216" i="9" s="1"/>
  <c r="F446" i="7"/>
  <c r="F445" i="7" s="1"/>
  <c r="H446" i="7"/>
  <c r="H445" i="7" s="1"/>
  <c r="F818" i="7" l="1"/>
  <c r="J922" i="7" l="1"/>
  <c r="K922" i="7" s="1"/>
  <c r="K921" i="7" s="1"/>
  <c r="H922" i="7"/>
  <c r="I922" i="7" s="1"/>
  <c r="I921" i="7" s="1"/>
  <c r="F922" i="7"/>
  <c r="G922" i="7" s="1"/>
  <c r="G921" i="7" s="1"/>
  <c r="AE510" i="2"/>
  <c r="AE509" i="2" s="1"/>
  <c r="AE508" i="2" s="1"/>
  <c r="AE507" i="2" s="1"/>
  <c r="AE506" i="2" s="1"/>
  <c r="AE505" i="2" s="1"/>
  <c r="AF510" i="2"/>
  <c r="AF509" i="2" s="1"/>
  <c r="AF508" i="2" s="1"/>
  <c r="AF507" i="2" s="1"/>
  <c r="AF506" i="2" s="1"/>
  <c r="AF505" i="2" s="1"/>
  <c r="AD510" i="2"/>
  <c r="AD509" i="2" s="1"/>
  <c r="AD508" i="2" s="1"/>
  <c r="AD507" i="2" s="1"/>
  <c r="AD506" i="2" s="1"/>
  <c r="AD505" i="2" s="1"/>
  <c r="J183" i="7"/>
  <c r="J182" i="7" s="1"/>
  <c r="H183" i="7"/>
  <c r="H182" i="7" s="1"/>
  <c r="F183" i="7"/>
  <c r="F182" i="7" s="1"/>
  <c r="J185" i="7"/>
  <c r="F533" i="9" s="1"/>
  <c r="F532" i="9" s="1"/>
  <c r="H185" i="7"/>
  <c r="H184" i="7" s="1"/>
  <c r="F185" i="7"/>
  <c r="D533" i="9" s="1"/>
  <c r="D532" i="9" s="1"/>
  <c r="AE107" i="2"/>
  <c r="AF107" i="2"/>
  <c r="AE109" i="2"/>
  <c r="AF109" i="2"/>
  <c r="AD107" i="2"/>
  <c r="AD109" i="2"/>
  <c r="AE113" i="2"/>
  <c r="AF113" i="2"/>
  <c r="AD114" i="2"/>
  <c r="F191" i="7" s="1"/>
  <c r="AD115" i="2"/>
  <c r="AE115" i="2"/>
  <c r="AF115" i="2"/>
  <c r="AF699" i="2"/>
  <c r="AE699" i="2"/>
  <c r="AD699" i="2"/>
  <c r="AF878" i="2"/>
  <c r="AE878" i="2"/>
  <c r="AD878" i="2"/>
  <c r="J316" i="7"/>
  <c r="J315" i="7" s="1"/>
  <c r="H316" i="7"/>
  <c r="H315" i="7" s="1"/>
  <c r="F316" i="7"/>
  <c r="F315" i="7" s="1"/>
  <c r="AD902" i="2"/>
  <c r="AE899" i="2"/>
  <c r="AF899" i="2"/>
  <c r="AD899" i="2"/>
  <c r="AD838" i="2"/>
  <c r="AD147" i="2"/>
  <c r="AD178" i="2"/>
  <c r="AD139" i="2"/>
  <c r="AD574" i="2"/>
  <c r="AD1068" i="2"/>
  <c r="AD98" i="2"/>
  <c r="AD106" i="2" l="1"/>
  <c r="AF112" i="2"/>
  <c r="AE106" i="2"/>
  <c r="F921" i="7"/>
  <c r="J921" i="7"/>
  <c r="E119" i="9"/>
  <c r="E118" i="9" s="1"/>
  <c r="H921" i="7"/>
  <c r="D119" i="9"/>
  <c r="D118" i="9" s="1"/>
  <c r="F119" i="9"/>
  <c r="F118" i="9" s="1"/>
  <c r="F184" i="7"/>
  <c r="D531" i="9"/>
  <c r="D530" i="9" s="1"/>
  <c r="E531" i="9"/>
  <c r="E530" i="9" s="1"/>
  <c r="F531" i="9"/>
  <c r="F530" i="9" s="1"/>
  <c r="J184" i="7"/>
  <c r="E533" i="9"/>
  <c r="E532" i="9" s="1"/>
  <c r="AF106" i="2"/>
  <c r="AE112" i="2"/>
  <c r="AD113" i="2"/>
  <c r="AD112" i="2" s="1"/>
  <c r="D274" i="9"/>
  <c r="D273" i="9" s="1"/>
  <c r="G316" i="7"/>
  <c r="G315" i="7" s="1"/>
  <c r="E274" i="9"/>
  <c r="E273" i="9" s="1"/>
  <c r="F274" i="9"/>
  <c r="F273" i="9" s="1"/>
  <c r="AD1035" i="2" l="1"/>
  <c r="G433" i="9"/>
  <c r="H433" i="9"/>
  <c r="I433" i="9"/>
  <c r="J433" i="9"/>
  <c r="K433" i="9"/>
  <c r="L433" i="9"/>
  <c r="M433" i="9"/>
  <c r="N433" i="9"/>
  <c r="O433" i="9"/>
  <c r="P433" i="9"/>
  <c r="Q433" i="9"/>
  <c r="R433" i="9"/>
  <c r="S433" i="9"/>
  <c r="T433" i="9"/>
  <c r="U433" i="9"/>
  <c r="V433" i="9"/>
  <c r="W433" i="9"/>
  <c r="X433" i="9"/>
  <c r="Y433" i="9"/>
  <c r="Z433" i="9"/>
  <c r="AA433" i="9"/>
  <c r="AB433" i="9"/>
  <c r="AC433" i="9"/>
  <c r="AD433" i="9"/>
  <c r="J466" i="7"/>
  <c r="J465" i="7" s="1"/>
  <c r="J464" i="7" s="1"/>
  <c r="H466" i="7"/>
  <c r="H465" i="7" s="1"/>
  <c r="H464" i="7" s="1"/>
  <c r="F466" i="7"/>
  <c r="F465" i="7" s="1"/>
  <c r="F464" i="7" s="1"/>
  <c r="AE985" i="2"/>
  <c r="AE984" i="2" s="1"/>
  <c r="AE983" i="2" s="1"/>
  <c r="AF985" i="2"/>
  <c r="AF984" i="2" s="1"/>
  <c r="AF983" i="2" s="1"/>
  <c r="AD985" i="2"/>
  <c r="AD984" i="2" s="1"/>
  <c r="AD983" i="2" s="1"/>
  <c r="J686" i="7"/>
  <c r="J685" i="7" s="1"/>
  <c r="J684" i="7" s="1"/>
  <c r="J683" i="7" s="1"/>
  <c r="H686" i="7"/>
  <c r="H685" i="7" s="1"/>
  <c r="H684" i="7" s="1"/>
  <c r="H683" i="7" s="1"/>
  <c r="F686" i="7"/>
  <c r="F685" i="7" s="1"/>
  <c r="F684" i="7" s="1"/>
  <c r="F683" i="7" s="1"/>
  <c r="AE763" i="2"/>
  <c r="AE762" i="2" s="1"/>
  <c r="AE761" i="2" s="1"/>
  <c r="AF763" i="2"/>
  <c r="AF762" i="2" s="1"/>
  <c r="AF761" i="2" s="1"/>
  <c r="AD763" i="2"/>
  <c r="AD762" i="2" s="1"/>
  <c r="AD761" i="2" s="1"/>
  <c r="F434" i="9" l="1"/>
  <c r="F433" i="9" s="1"/>
  <c r="F432" i="9" s="1"/>
  <c r="D434" i="9"/>
  <c r="D433" i="9" s="1"/>
  <c r="D432" i="9" s="1"/>
  <c r="E434" i="9"/>
  <c r="E433" i="9" s="1"/>
  <c r="E432" i="9" s="1"/>
  <c r="D151" i="9"/>
  <c r="D150" i="9" s="1"/>
  <c r="D149" i="9" s="1"/>
  <c r="D148" i="9" s="1"/>
  <c r="E151" i="9"/>
  <c r="E150" i="9" s="1"/>
  <c r="E149" i="9" s="1"/>
  <c r="E148" i="9" s="1"/>
  <c r="F151" i="9"/>
  <c r="F150" i="9" s="1"/>
  <c r="F149" i="9" s="1"/>
  <c r="F148" i="9" s="1"/>
  <c r="I453" i="7" l="1"/>
  <c r="I452" i="7" s="1"/>
  <c r="I448" i="7" s="1"/>
  <c r="AE974" i="2" l="1"/>
  <c r="AE818" i="2"/>
  <c r="AD1049" i="2"/>
  <c r="G492" i="9"/>
  <c r="H492" i="9"/>
  <c r="I492" i="9"/>
  <c r="J492" i="9"/>
  <c r="K492" i="9"/>
  <c r="L492" i="9"/>
  <c r="M492" i="9"/>
  <c r="N492" i="9"/>
  <c r="O492" i="9"/>
  <c r="P492" i="9"/>
  <c r="Q492" i="9"/>
  <c r="R492" i="9"/>
  <c r="S492" i="9"/>
  <c r="T492" i="9"/>
  <c r="U492" i="9"/>
  <c r="V492" i="9"/>
  <c r="W492" i="9"/>
  <c r="X492" i="9"/>
  <c r="Y492" i="9"/>
  <c r="Z492" i="9"/>
  <c r="AA492" i="9"/>
  <c r="AB492" i="9"/>
  <c r="AC492" i="9"/>
  <c r="AD492" i="9"/>
  <c r="J66" i="7"/>
  <c r="J65" i="7" s="1"/>
  <c r="H66" i="7"/>
  <c r="H65" i="7" s="1"/>
  <c r="F66" i="7"/>
  <c r="D493" i="9" s="1"/>
  <c r="D492" i="9" s="1"/>
  <c r="AE39" i="2"/>
  <c r="AF39" i="2"/>
  <c r="AD39" i="2"/>
  <c r="AD1138" i="2"/>
  <c r="AD80" i="2"/>
  <c r="J597" i="7"/>
  <c r="F738" i="9" s="1"/>
  <c r="F737" i="9" s="1"/>
  <c r="H597" i="7"/>
  <c r="E738" i="9" s="1"/>
  <c r="E737" i="9" s="1"/>
  <c r="F597" i="7"/>
  <c r="D738" i="9" s="1"/>
  <c r="D737" i="9" s="1"/>
  <c r="AE1064" i="2"/>
  <c r="AF1064" i="2"/>
  <c r="AD1064" i="2"/>
  <c r="AE961" i="2"/>
  <c r="F65" i="7" l="1"/>
  <c r="E493" i="9"/>
  <c r="E492" i="9" s="1"/>
  <c r="F493" i="9"/>
  <c r="F492" i="9" s="1"/>
  <c r="F596" i="7"/>
  <c r="J596" i="7"/>
  <c r="H596" i="7"/>
  <c r="F409" i="9" l="1"/>
  <c r="F408" i="9" s="1"/>
  <c r="F407" i="9" s="1"/>
  <c r="G440" i="7"/>
  <c r="G439" i="7" s="1"/>
  <c r="G432" i="7" s="1"/>
  <c r="I440" i="7"/>
  <c r="I439" i="7" s="1"/>
  <c r="J440" i="7"/>
  <c r="J439" i="7" s="1"/>
  <c r="H441" i="7"/>
  <c r="E409" i="9" s="1"/>
  <c r="E408" i="9" s="1"/>
  <c r="E407" i="9" s="1"/>
  <c r="AE960" i="2"/>
  <c r="AE959" i="2" s="1"/>
  <c r="AF960" i="2"/>
  <c r="AF959" i="2" s="1"/>
  <c r="AD961" i="2"/>
  <c r="AD960" i="2" s="1"/>
  <c r="AD959" i="2" s="1"/>
  <c r="AD491" i="2"/>
  <c r="F441" i="7" l="1"/>
  <c r="D409" i="9" s="1"/>
  <c r="D408" i="9" s="1"/>
  <c r="D407" i="9" s="1"/>
  <c r="H440" i="7"/>
  <c r="H439" i="7" s="1"/>
  <c r="F440" i="7" l="1"/>
  <c r="F439" i="7" s="1"/>
  <c r="G529" i="7"/>
  <c r="G531" i="7" l="1"/>
  <c r="AE79" i="2"/>
  <c r="AF79" i="2"/>
  <c r="AD79" i="2"/>
  <c r="AD84" i="2"/>
  <c r="AD342" i="2"/>
  <c r="AD1008" i="2"/>
  <c r="AE731" i="2" l="1"/>
  <c r="E667" i="9"/>
  <c r="F667" i="9"/>
  <c r="G530" i="7"/>
  <c r="H530" i="7"/>
  <c r="J530" i="7"/>
  <c r="F531" i="7"/>
  <c r="D668" i="9" s="1"/>
  <c r="D667" i="9" s="1"/>
  <c r="F529" i="7"/>
  <c r="AE341" i="2"/>
  <c r="AE340" i="2" s="1"/>
  <c r="AE339" i="2" s="1"/>
  <c r="AE338" i="2" s="1"/>
  <c r="AF341" i="2"/>
  <c r="AF340" i="2" s="1"/>
  <c r="AF339" i="2" s="1"/>
  <c r="AF338" i="2" s="1"/>
  <c r="AD341" i="2"/>
  <c r="AD340" i="2" s="1"/>
  <c r="AD339" i="2" s="1"/>
  <c r="AD338" i="2" s="1"/>
  <c r="AF819" i="2"/>
  <c r="AE819" i="2"/>
  <c r="AF818" i="2"/>
  <c r="AF808" i="2"/>
  <c r="AE808" i="2"/>
  <c r="AD760" i="2"/>
  <c r="F530" i="7" l="1"/>
  <c r="J495" i="7"/>
  <c r="F310" i="9" s="1"/>
  <c r="F309" i="9" s="1"/>
  <c r="H495" i="7"/>
  <c r="E310" i="9" s="1"/>
  <c r="E309" i="9" s="1"/>
  <c r="F495" i="7"/>
  <c r="F494" i="7" s="1"/>
  <c r="AE316" i="2"/>
  <c r="AF316" i="2"/>
  <c r="AD316" i="2"/>
  <c r="J494" i="7" l="1"/>
  <c r="H494" i="7"/>
  <c r="D310" i="9"/>
  <c r="D309" i="9" s="1"/>
  <c r="AD690" i="2"/>
  <c r="G538" i="7" l="1"/>
  <c r="AE757" i="2"/>
  <c r="AE619" i="2"/>
  <c r="AE760" i="2" l="1"/>
  <c r="AE244" i="2" l="1"/>
  <c r="AF619" i="2"/>
  <c r="J682" i="7"/>
  <c r="F147" i="9" s="1"/>
  <c r="F146" i="9" s="1"/>
  <c r="F145" i="9" s="1"/>
  <c r="H682" i="7"/>
  <c r="H681" i="7" s="1"/>
  <c r="H680" i="7" s="1"/>
  <c r="F682" i="7"/>
  <c r="G681" i="7" s="1"/>
  <c r="G680" i="7" s="1"/>
  <c r="AE759" i="2"/>
  <c r="AE758" i="2" s="1"/>
  <c r="AF759" i="2"/>
  <c r="AF758" i="2" s="1"/>
  <c r="AD759" i="2"/>
  <c r="AD758" i="2" s="1"/>
  <c r="J681" i="7" l="1"/>
  <c r="J680" i="7" s="1"/>
  <c r="E147" i="9"/>
  <c r="E146" i="9" s="1"/>
  <c r="E145" i="9" s="1"/>
  <c r="I681" i="7"/>
  <c r="I680" i="7" s="1"/>
  <c r="F681" i="7"/>
  <c r="F680" i="7" s="1"/>
  <c r="D147" i="9"/>
  <c r="D146" i="9" s="1"/>
  <c r="D145" i="9" s="1"/>
  <c r="AD476" i="2"/>
  <c r="AD1015" i="2" l="1"/>
  <c r="J144" i="7" l="1"/>
  <c r="J143" i="7" s="1"/>
  <c r="H144" i="7"/>
  <c r="H143" i="7" s="1"/>
  <c r="F144" i="7"/>
  <c r="F143" i="7" s="1"/>
  <c r="F138" i="7"/>
  <c r="AE645" i="2"/>
  <c r="AF645" i="2"/>
  <c r="AD645" i="2"/>
  <c r="AD88" i="2"/>
  <c r="AD90" i="2"/>
  <c r="AD652" i="2"/>
  <c r="AD650" i="2"/>
  <c r="D455" i="9" l="1"/>
  <c r="D454" i="9" s="1"/>
  <c r="E455" i="9"/>
  <c r="E454" i="9" s="1"/>
  <c r="F455" i="9"/>
  <c r="F454" i="9" s="1"/>
  <c r="J934" i="7"/>
  <c r="F364" i="9" s="1"/>
  <c r="F363" i="9" s="1"/>
  <c r="F362" i="9" s="1"/>
  <c r="H934" i="7"/>
  <c r="H933" i="7" s="1"/>
  <c r="H932" i="7" s="1"/>
  <c r="F934" i="7"/>
  <c r="D364" i="9" s="1"/>
  <c r="D363" i="9" s="1"/>
  <c r="D362" i="9" s="1"/>
  <c r="AE1103" i="2"/>
  <c r="AE1102" i="2" s="1"/>
  <c r="AF1103" i="2"/>
  <c r="AF1102" i="2" s="1"/>
  <c r="AD1103" i="2"/>
  <c r="AD1102" i="2" s="1"/>
  <c r="J523" i="7"/>
  <c r="J522" i="7" s="1"/>
  <c r="J521" i="7" s="1"/>
  <c r="H523" i="7"/>
  <c r="H522" i="7" s="1"/>
  <c r="F523" i="7"/>
  <c r="D660" i="9" s="1"/>
  <c r="D659" i="9" s="1"/>
  <c r="D658" i="9" s="1"/>
  <c r="AE1001" i="2"/>
  <c r="AE1000" i="2" s="1"/>
  <c r="AF1001" i="2"/>
  <c r="AF1000" i="2" s="1"/>
  <c r="AD1001" i="2"/>
  <c r="AD1000" i="2" s="1"/>
  <c r="F933" i="7" l="1"/>
  <c r="F932" i="7" s="1"/>
  <c r="J933" i="7"/>
  <c r="J932" i="7" s="1"/>
  <c r="E364" i="9"/>
  <c r="E363" i="9" s="1"/>
  <c r="E362" i="9" s="1"/>
  <c r="E660" i="9"/>
  <c r="E659" i="9" s="1"/>
  <c r="E658" i="9" s="1"/>
  <c r="H521" i="7"/>
  <c r="F660" i="9"/>
  <c r="F659" i="9" s="1"/>
  <c r="F658" i="9" s="1"/>
  <c r="F522" i="7"/>
  <c r="F521" i="7" s="1"/>
  <c r="J227" i="7"/>
  <c r="F227" i="7"/>
  <c r="AE618" i="2"/>
  <c r="AE617" i="2" s="1"/>
  <c r="AE616" i="2" s="1"/>
  <c r="AE615" i="2" s="1"/>
  <c r="AE614" i="2" s="1"/>
  <c r="AD618" i="2"/>
  <c r="AD617" i="2" s="1"/>
  <c r="AD616" i="2" s="1"/>
  <c r="AD615" i="2" s="1"/>
  <c r="AD614" i="2" s="1"/>
  <c r="AF618" i="2"/>
  <c r="AF617" i="2" s="1"/>
  <c r="AF616" i="2" s="1"/>
  <c r="AF615" i="2" s="1"/>
  <c r="AF614" i="2" s="1"/>
  <c r="G547" i="9"/>
  <c r="H547" i="9"/>
  <c r="I547" i="9"/>
  <c r="J547" i="9"/>
  <c r="K547" i="9"/>
  <c r="L547" i="9"/>
  <c r="M547" i="9"/>
  <c r="N547" i="9"/>
  <c r="O547" i="9"/>
  <c r="P547" i="9"/>
  <c r="Q547" i="9"/>
  <c r="R547" i="9"/>
  <c r="S547" i="9"/>
  <c r="T547" i="9"/>
  <c r="U547" i="9"/>
  <c r="V547" i="9"/>
  <c r="W547" i="9"/>
  <c r="X547" i="9"/>
  <c r="Y547" i="9"/>
  <c r="Z547" i="9"/>
  <c r="AA547" i="9"/>
  <c r="AB547" i="9"/>
  <c r="AC547" i="9"/>
  <c r="AD547" i="9"/>
  <c r="J200" i="7"/>
  <c r="F548" i="9" s="1"/>
  <c r="F547" i="9" s="1"/>
  <c r="H200" i="7"/>
  <c r="E548" i="9" s="1"/>
  <c r="E547" i="9" s="1"/>
  <c r="F200" i="7"/>
  <c r="F199" i="7" s="1"/>
  <c r="AE122" i="2"/>
  <c r="AF122" i="2"/>
  <c r="AD122" i="2"/>
  <c r="AD121" i="2"/>
  <c r="H227" i="7" l="1"/>
  <c r="H199" i="7"/>
  <c r="J199" i="7"/>
  <c r="D548" i="9"/>
  <c r="D547" i="9" s="1"/>
  <c r="G679" i="9" l="1"/>
  <c r="H679" i="9"/>
  <c r="I679" i="9"/>
  <c r="J679" i="9"/>
  <c r="K679" i="9"/>
  <c r="L679" i="9"/>
  <c r="M679" i="9"/>
  <c r="N679" i="9"/>
  <c r="O679" i="9"/>
  <c r="P679" i="9"/>
  <c r="Q679" i="9"/>
  <c r="R679" i="9"/>
  <c r="S679" i="9"/>
  <c r="T679" i="9"/>
  <c r="U679" i="9"/>
  <c r="V679" i="9"/>
  <c r="W679" i="9"/>
  <c r="X679" i="9"/>
  <c r="Y679" i="9"/>
  <c r="Z679" i="9"/>
  <c r="AA679" i="9"/>
  <c r="AB679" i="9"/>
  <c r="AC679" i="9"/>
  <c r="AD679" i="9"/>
  <c r="J283" i="7"/>
  <c r="F349" i="9" s="1"/>
  <c r="F348" i="9" s="1"/>
  <c r="H283" i="7"/>
  <c r="E349" i="9" s="1"/>
  <c r="E348" i="9" s="1"/>
  <c r="J282" i="7" l="1"/>
  <c r="H282" i="7"/>
  <c r="AD205" i="2"/>
  <c r="AE202" i="2"/>
  <c r="AF202" i="2"/>
  <c r="AD203" i="2"/>
  <c r="AD202" i="2" l="1"/>
  <c r="F283" i="7"/>
  <c r="H570" i="7"/>
  <c r="E714" i="9" s="1"/>
  <c r="D349" i="9" l="1"/>
  <c r="D348" i="9" s="1"/>
  <c r="F282" i="7"/>
  <c r="J570" i="7"/>
  <c r="F714" i="9" s="1"/>
  <c r="H569" i="7"/>
  <c r="H568" i="7" s="1"/>
  <c r="G524" i="9"/>
  <c r="H524" i="9"/>
  <c r="I524" i="9"/>
  <c r="J524" i="9"/>
  <c r="K524" i="9"/>
  <c r="L524" i="9"/>
  <c r="M524" i="9"/>
  <c r="N524" i="9"/>
  <c r="O524" i="9"/>
  <c r="P524" i="9"/>
  <c r="Q524" i="9"/>
  <c r="R524" i="9"/>
  <c r="S524" i="9"/>
  <c r="T524" i="9"/>
  <c r="U524" i="9"/>
  <c r="V524" i="9"/>
  <c r="W524" i="9"/>
  <c r="X524" i="9"/>
  <c r="Y524" i="9"/>
  <c r="Z524" i="9"/>
  <c r="AA524" i="9"/>
  <c r="AB524" i="9"/>
  <c r="AC524" i="9"/>
  <c r="AD524" i="9"/>
  <c r="J177" i="7"/>
  <c r="F525" i="9" s="1"/>
  <c r="F524" i="9" s="1"/>
  <c r="H177" i="7"/>
  <c r="E525" i="9" s="1"/>
  <c r="E524" i="9" s="1"/>
  <c r="F177" i="7"/>
  <c r="D525" i="9" s="1"/>
  <c r="D524" i="9" s="1"/>
  <c r="AE101" i="2"/>
  <c r="AF101" i="2"/>
  <c r="AD101" i="2"/>
  <c r="J569" i="7" l="1"/>
  <c r="J568" i="7" s="1"/>
  <c r="F176" i="7"/>
  <c r="J176" i="7"/>
  <c r="H176" i="7"/>
  <c r="J633" i="7" l="1"/>
  <c r="J632" i="7" s="1"/>
  <c r="J631" i="7" s="1"/>
  <c r="H633" i="7"/>
  <c r="H632" i="7" s="1"/>
  <c r="H631" i="7" s="1"/>
  <c r="F633" i="7"/>
  <c r="D106" i="9" s="1"/>
  <c r="D105" i="9" s="1"/>
  <c r="D104" i="9" s="1"/>
  <c r="AE710" i="2"/>
  <c r="AE709" i="2" s="1"/>
  <c r="AF710" i="2"/>
  <c r="AF709" i="2" s="1"/>
  <c r="AD710" i="2"/>
  <c r="AD709" i="2" s="1"/>
  <c r="F106" i="9" l="1"/>
  <c r="F105" i="9" s="1"/>
  <c r="F104" i="9" s="1"/>
  <c r="E106" i="9"/>
  <c r="E105" i="9" s="1"/>
  <c r="E104" i="9" s="1"/>
  <c r="F632" i="7"/>
  <c r="F631" i="7" s="1"/>
  <c r="AD1005" i="2" l="1"/>
  <c r="AD353" i="2"/>
  <c r="F570" i="7" s="1"/>
  <c r="F569" i="7" l="1"/>
  <c r="F568" i="7" s="1"/>
  <c r="D714" i="9"/>
  <c r="H475" i="7"/>
  <c r="E515" i="9" s="1"/>
  <c r="E514" i="9" s="1"/>
  <c r="E513" i="9" s="1"/>
  <c r="J475" i="7"/>
  <c r="J474" i="7" s="1"/>
  <c r="F475" i="7"/>
  <c r="F474" i="7" s="1"/>
  <c r="F473" i="7" s="1"/>
  <c r="F472" i="7" s="1"/>
  <c r="F471" i="7" s="1"/>
  <c r="F470" i="7" s="1"/>
  <c r="AE674" i="2"/>
  <c r="AE673" i="2" s="1"/>
  <c r="AE672" i="2" s="1"/>
  <c r="AE671" i="2" s="1"/>
  <c r="AE670" i="2" s="1"/>
  <c r="AE669" i="2" s="1"/>
  <c r="AE668" i="2" s="1"/>
  <c r="AF674" i="2"/>
  <c r="AF673" i="2" s="1"/>
  <c r="AF672" i="2" s="1"/>
  <c r="AF671" i="2" s="1"/>
  <c r="AF670" i="2" s="1"/>
  <c r="AF669" i="2" s="1"/>
  <c r="AF668" i="2" s="1"/>
  <c r="AD674" i="2"/>
  <c r="AD673" i="2" s="1"/>
  <c r="AD672" i="2" s="1"/>
  <c r="AD671" i="2" s="1"/>
  <c r="AD670" i="2" s="1"/>
  <c r="AD669" i="2" s="1"/>
  <c r="AD668" i="2" s="1"/>
  <c r="G656" i="9"/>
  <c r="H656" i="9"/>
  <c r="I656" i="9"/>
  <c r="J656" i="9"/>
  <c r="K656" i="9"/>
  <c r="L656" i="9"/>
  <c r="M656" i="9"/>
  <c r="N656" i="9"/>
  <c r="O656" i="9"/>
  <c r="P656" i="9"/>
  <c r="Q656" i="9"/>
  <c r="R656" i="9"/>
  <c r="S656" i="9"/>
  <c r="T656" i="9"/>
  <c r="U656" i="9"/>
  <c r="V656" i="9"/>
  <c r="W656" i="9"/>
  <c r="X656" i="9"/>
  <c r="Y656" i="9"/>
  <c r="Z656" i="9"/>
  <c r="AA656" i="9"/>
  <c r="AB656" i="9"/>
  <c r="AC656" i="9"/>
  <c r="AD656" i="9"/>
  <c r="J520" i="7"/>
  <c r="J519" i="7" s="1"/>
  <c r="J518" i="7" s="1"/>
  <c r="H520" i="7"/>
  <c r="H519" i="7" s="1"/>
  <c r="H518" i="7" s="1"/>
  <c r="F520" i="7"/>
  <c r="D657" i="9" s="1"/>
  <c r="D656" i="9" s="1"/>
  <c r="D655" i="9" s="1"/>
  <c r="H308" i="7"/>
  <c r="H307" i="7" s="1"/>
  <c r="H306" i="7" s="1"/>
  <c r="H305" i="7" s="1"/>
  <c r="H304" i="7" s="1"/>
  <c r="J308" i="7"/>
  <c r="J307" i="7" s="1"/>
  <c r="J306" i="7" s="1"/>
  <c r="J305" i="7" s="1"/>
  <c r="J304" i="7" s="1"/>
  <c r="F308" i="7"/>
  <c r="D801" i="9" s="1"/>
  <c r="D800" i="9" s="1"/>
  <c r="D799" i="9" s="1"/>
  <c r="AE227" i="2"/>
  <c r="AE226" i="2" s="1"/>
  <c r="AE225" i="2" s="1"/>
  <c r="AE224" i="2" s="1"/>
  <c r="AF227" i="2"/>
  <c r="AF226" i="2" s="1"/>
  <c r="AF225" i="2" s="1"/>
  <c r="AF224" i="2" s="1"/>
  <c r="AD227" i="2"/>
  <c r="AD226" i="2" s="1"/>
  <c r="AD225" i="2" s="1"/>
  <c r="AD224" i="2" s="1"/>
  <c r="G585" i="9"/>
  <c r="H585" i="9"/>
  <c r="I585" i="9"/>
  <c r="J585" i="9"/>
  <c r="K585" i="9"/>
  <c r="L585" i="9"/>
  <c r="M585" i="9"/>
  <c r="N585" i="9"/>
  <c r="O585" i="9"/>
  <c r="P585" i="9"/>
  <c r="Q585" i="9"/>
  <c r="R585" i="9"/>
  <c r="S585" i="9"/>
  <c r="T585" i="9"/>
  <c r="U585" i="9"/>
  <c r="V585" i="9"/>
  <c r="W585" i="9"/>
  <c r="X585" i="9"/>
  <c r="Y585" i="9"/>
  <c r="Z585" i="9"/>
  <c r="AA585" i="9"/>
  <c r="AB585" i="9"/>
  <c r="AC585" i="9"/>
  <c r="AD585" i="9"/>
  <c r="F587" i="9"/>
  <c r="F586" i="9" s="1"/>
  <c r="F585" i="9" s="1"/>
  <c r="F584" i="9" s="1"/>
  <c r="F583" i="9" s="1"/>
  <c r="E587" i="9"/>
  <c r="E586" i="9" s="1"/>
  <c r="E585" i="9" s="1"/>
  <c r="E584" i="9" s="1"/>
  <c r="E583" i="9" s="1"/>
  <c r="D587" i="9"/>
  <c r="D586" i="9" s="1"/>
  <c r="D585" i="9" s="1"/>
  <c r="D584" i="9" s="1"/>
  <c r="D583" i="9" s="1"/>
  <c r="H782" i="7"/>
  <c r="H781" i="7" s="1"/>
  <c r="H780" i="7" s="1"/>
  <c r="H779" i="7" s="1"/>
  <c r="J782" i="7"/>
  <c r="J781" i="7" s="1"/>
  <c r="J780" i="7" s="1"/>
  <c r="J779" i="7" s="1"/>
  <c r="F782" i="7"/>
  <c r="F781" i="7" s="1"/>
  <c r="F780" i="7" s="1"/>
  <c r="F779" i="7" s="1"/>
  <c r="AE399" i="2"/>
  <c r="AE398" i="2" s="1"/>
  <c r="AE397" i="2" s="1"/>
  <c r="AE396" i="2" s="1"/>
  <c r="AF399" i="2"/>
  <c r="AF398" i="2" s="1"/>
  <c r="AF397" i="2" s="1"/>
  <c r="AF396" i="2" s="1"/>
  <c r="AD399" i="2"/>
  <c r="AD398" i="2" s="1"/>
  <c r="AD397" i="2" s="1"/>
  <c r="AD396" i="2" s="1"/>
  <c r="AE998" i="2"/>
  <c r="AE997" i="2" s="1"/>
  <c r="AF998" i="2"/>
  <c r="AF997" i="2" s="1"/>
  <c r="AD998" i="2"/>
  <c r="AD997" i="2" s="1"/>
  <c r="J874" i="7"/>
  <c r="F70" i="9" s="1"/>
  <c r="F69" i="9" s="1"/>
  <c r="F68" i="9" s="1"/>
  <c r="F67" i="9" s="1"/>
  <c r="H874" i="7"/>
  <c r="E70" i="9" s="1"/>
  <c r="E69" i="9" s="1"/>
  <c r="E68" i="9" s="1"/>
  <c r="E67" i="9" s="1"/>
  <c r="F874" i="7"/>
  <c r="F873" i="7" s="1"/>
  <c r="F872" i="7" s="1"/>
  <c r="AE468" i="2"/>
  <c r="AE467" i="2" s="1"/>
  <c r="AE466" i="2" s="1"/>
  <c r="AF468" i="2"/>
  <c r="AF467" i="2" s="1"/>
  <c r="AF466" i="2" s="1"/>
  <c r="AD468" i="2"/>
  <c r="AD467" i="2" s="1"/>
  <c r="AD466" i="2" s="1"/>
  <c r="J473" i="7" l="1"/>
  <c r="J472" i="7" s="1"/>
  <c r="J471" i="7" s="1"/>
  <c r="J470" i="7" s="1"/>
  <c r="F515" i="9"/>
  <c r="F514" i="9" s="1"/>
  <c r="F513" i="9" s="1"/>
  <c r="H474" i="7"/>
  <c r="H473" i="7" s="1"/>
  <c r="H472" i="7" s="1"/>
  <c r="H471" i="7" s="1"/>
  <c r="H470" i="7" s="1"/>
  <c r="D515" i="9"/>
  <c r="D514" i="9" s="1"/>
  <c r="D513" i="9" s="1"/>
  <c r="F519" i="7"/>
  <c r="F518" i="7" s="1"/>
  <c r="E657" i="9"/>
  <c r="E656" i="9" s="1"/>
  <c r="E655" i="9" s="1"/>
  <c r="F657" i="9"/>
  <c r="F656" i="9" s="1"/>
  <c r="F655" i="9" s="1"/>
  <c r="F307" i="7"/>
  <c r="F306" i="7" s="1"/>
  <c r="F305" i="7" s="1"/>
  <c r="F304" i="7" s="1"/>
  <c r="F801" i="9"/>
  <c r="F800" i="9" s="1"/>
  <c r="F799" i="9" s="1"/>
  <c r="E801" i="9"/>
  <c r="E800" i="9" s="1"/>
  <c r="E799" i="9" s="1"/>
  <c r="J873" i="7"/>
  <c r="J872" i="7" s="1"/>
  <c r="H873" i="7"/>
  <c r="H872" i="7" s="1"/>
  <c r="D70" i="9"/>
  <c r="D69" i="9" s="1"/>
  <c r="D68" i="9" s="1"/>
  <c r="D67" i="9" s="1"/>
  <c r="AD369" i="2"/>
  <c r="AD258" i="2"/>
  <c r="AD262" i="2"/>
  <c r="J838" i="7"/>
  <c r="F33" i="9" s="1"/>
  <c r="F32" i="9" s="1"/>
  <c r="F31" i="9" s="1"/>
  <c r="F30" i="9" s="1"/>
  <c r="H838" i="7"/>
  <c r="E33" i="9" s="1"/>
  <c r="E32" i="9" s="1"/>
  <c r="E31" i="9" s="1"/>
  <c r="E30" i="9" s="1"/>
  <c r="F838" i="7"/>
  <c r="D33" i="9" s="1"/>
  <c r="D32" i="9" s="1"/>
  <c r="D31" i="9" s="1"/>
  <c r="D30" i="9" s="1"/>
  <c r="AE431" i="2"/>
  <c r="AE430" i="2" s="1"/>
  <c r="AE429" i="2" s="1"/>
  <c r="AF431" i="2"/>
  <c r="AF430" i="2" s="1"/>
  <c r="AF429" i="2" s="1"/>
  <c r="AD431" i="2"/>
  <c r="AD430" i="2" s="1"/>
  <c r="AD429" i="2" s="1"/>
  <c r="J837" i="7" l="1"/>
  <c r="J836" i="7" s="1"/>
  <c r="J835" i="7" s="1"/>
  <c r="H837" i="7"/>
  <c r="H836" i="7" s="1"/>
  <c r="H835" i="7" s="1"/>
  <c r="F837" i="7"/>
  <c r="F836" i="7" s="1"/>
  <c r="F835" i="7" s="1"/>
  <c r="AD170" i="2"/>
  <c r="J646" i="7"/>
  <c r="F144" i="9" s="1"/>
  <c r="F143" i="9" s="1"/>
  <c r="F142" i="9" s="1"/>
  <c r="H646" i="7"/>
  <c r="F646" i="7"/>
  <c r="AF723" i="2"/>
  <c r="AF722" i="2" s="1"/>
  <c r="AF721" i="2" s="1"/>
  <c r="AE723" i="2"/>
  <c r="AE722" i="2" s="1"/>
  <c r="AE721" i="2" s="1"/>
  <c r="AD723" i="2"/>
  <c r="AD722" i="2" s="1"/>
  <c r="AD721" i="2" s="1"/>
  <c r="G646" i="7" l="1"/>
  <c r="G645" i="7" s="1"/>
  <c r="G644" i="7" s="1"/>
  <c r="G643" i="7" s="1"/>
  <c r="D144" i="9"/>
  <c r="D143" i="9" s="1"/>
  <c r="D142" i="9" s="1"/>
  <c r="H645" i="7"/>
  <c r="H644" i="7" s="1"/>
  <c r="H643" i="7" s="1"/>
  <c r="E144" i="9"/>
  <c r="E143" i="9" s="1"/>
  <c r="E142" i="9" s="1"/>
  <c r="J645" i="7"/>
  <c r="J644" i="7" s="1"/>
  <c r="J643" i="7" s="1"/>
  <c r="F645" i="7"/>
  <c r="F644" i="7" s="1"/>
  <c r="F643" i="7" s="1"/>
  <c r="G797" i="9"/>
  <c r="H797" i="9"/>
  <c r="I797" i="9"/>
  <c r="J797" i="9"/>
  <c r="K797" i="9"/>
  <c r="L797" i="9"/>
  <c r="M797" i="9"/>
  <c r="N797" i="9"/>
  <c r="O797" i="9"/>
  <c r="P797" i="9"/>
  <c r="Q797" i="9"/>
  <c r="R797" i="9"/>
  <c r="S797" i="9"/>
  <c r="T797" i="9"/>
  <c r="U797" i="9"/>
  <c r="V797" i="9"/>
  <c r="W797" i="9"/>
  <c r="X797" i="9"/>
  <c r="Y797" i="9"/>
  <c r="Z797" i="9"/>
  <c r="AA797" i="9"/>
  <c r="AB797" i="9"/>
  <c r="AC797" i="9"/>
  <c r="AD797" i="9"/>
  <c r="J224" i="7"/>
  <c r="J223" i="7" s="1"/>
  <c r="J222" i="7" s="1"/>
  <c r="H224" i="7"/>
  <c r="E798" i="9" s="1"/>
  <c r="E797" i="9" s="1"/>
  <c r="E796" i="9" s="1"/>
  <c r="F224" i="7"/>
  <c r="D798" i="9" s="1"/>
  <c r="D797" i="9" s="1"/>
  <c r="D796" i="9" s="1"/>
  <c r="J226" i="7"/>
  <c r="J225" i="7" s="1"/>
  <c r="J221" i="7" l="1"/>
  <c r="F798" i="9"/>
  <c r="F797" i="9" s="1"/>
  <c r="F796" i="9" s="1"/>
  <c r="F223" i="7"/>
  <c r="F222" i="7" s="1"/>
  <c r="H223" i="7"/>
  <c r="H222" i="7" s="1"/>
  <c r="AD146" i="2" l="1"/>
  <c r="AD145" i="2" s="1"/>
  <c r="AD144" i="2" s="1"/>
  <c r="AD140" i="2" s="1"/>
  <c r="AF146" i="2"/>
  <c r="AF145" i="2" s="1"/>
  <c r="AF144" i="2" s="1"/>
  <c r="AF140" i="2" s="1"/>
  <c r="AE146" i="2"/>
  <c r="AE145" i="2" s="1"/>
  <c r="AE144" i="2" s="1"/>
  <c r="AE140" i="2" s="1"/>
  <c r="AD603" i="2" l="1"/>
  <c r="J29" i="7" l="1"/>
  <c r="J28" i="7" s="1"/>
  <c r="J27" i="7" s="1"/>
  <c r="J26" i="7" s="1"/>
  <c r="J25" i="7" s="1"/>
  <c r="J24" i="7" s="1"/>
  <c r="H29" i="7"/>
  <c r="H28" i="7" s="1"/>
  <c r="H27" i="7" s="1"/>
  <c r="H26" i="7" s="1"/>
  <c r="H25" i="7" s="1"/>
  <c r="H24" i="7" s="1"/>
  <c r="F29" i="7"/>
  <c r="F28" i="7" s="1"/>
  <c r="F27" i="7" s="1"/>
  <c r="F26" i="7" s="1"/>
  <c r="F25" i="7" s="1"/>
  <c r="F24" i="7" s="1"/>
  <c r="AF559" i="2"/>
  <c r="AF558" i="2" s="1"/>
  <c r="AF557" i="2" s="1"/>
  <c r="AF556" i="2" s="1"/>
  <c r="AF555" i="2" s="1"/>
  <c r="AE559" i="2"/>
  <c r="AE558" i="2" s="1"/>
  <c r="AE557" i="2" s="1"/>
  <c r="AE556" i="2" s="1"/>
  <c r="AE555" i="2" s="1"/>
  <c r="AD559" i="2"/>
  <c r="AD558" i="2" s="1"/>
  <c r="AD557" i="2" s="1"/>
  <c r="AD556" i="2" s="1"/>
  <c r="AD555" i="2" s="1"/>
  <c r="G782" i="9" l="1"/>
  <c r="H782" i="9"/>
  <c r="I782" i="9"/>
  <c r="J782" i="9"/>
  <c r="K782" i="9"/>
  <c r="L782" i="9"/>
  <c r="M782" i="9"/>
  <c r="N782" i="9"/>
  <c r="O782" i="9"/>
  <c r="P782" i="9"/>
  <c r="Q782" i="9"/>
  <c r="R782" i="9"/>
  <c r="S782" i="9"/>
  <c r="T782" i="9"/>
  <c r="U782" i="9"/>
  <c r="V782" i="9"/>
  <c r="W782" i="9"/>
  <c r="X782" i="9"/>
  <c r="Y782" i="9"/>
  <c r="Z782" i="9"/>
  <c r="AA782" i="9"/>
  <c r="AB782" i="9"/>
  <c r="AC782" i="9"/>
  <c r="AD782" i="9"/>
  <c r="J219" i="7"/>
  <c r="J218" i="7" s="1"/>
  <c r="H219" i="7"/>
  <c r="H218" i="7" s="1"/>
  <c r="D791" i="9"/>
  <c r="D790" i="9" s="1"/>
  <c r="D789" i="9" s="1"/>
  <c r="AE666" i="2"/>
  <c r="AE665" i="2" s="1"/>
  <c r="AE664" i="2" s="1"/>
  <c r="AF666" i="2"/>
  <c r="AF665" i="2" s="1"/>
  <c r="AF664" i="2" s="1"/>
  <c r="AD666" i="2"/>
  <c r="AD665" i="2" s="1"/>
  <c r="AD664" i="2" s="1"/>
  <c r="AD1032" i="2"/>
  <c r="J150" i="7"/>
  <c r="H150" i="7"/>
  <c r="F150" i="7"/>
  <c r="AE89" i="2"/>
  <c r="AF89" i="2"/>
  <c r="AD89" i="2"/>
  <c r="AF1042" i="2"/>
  <c r="AE1042" i="2"/>
  <c r="AF1026" i="2"/>
  <c r="J535" i="7"/>
  <c r="J534" i="7" s="1"/>
  <c r="J533" i="7" s="1"/>
  <c r="H535" i="7"/>
  <c r="H534" i="7" s="1"/>
  <c r="H533" i="7" s="1"/>
  <c r="F535" i="7"/>
  <c r="D672" i="9" s="1"/>
  <c r="D671" i="9" s="1"/>
  <c r="D670" i="9" s="1"/>
  <c r="AF1011" i="2"/>
  <c r="AF1010" i="2" s="1"/>
  <c r="AE1011" i="2"/>
  <c r="AE1010" i="2" s="1"/>
  <c r="AD1011" i="2"/>
  <c r="AD1010" i="2" s="1"/>
  <c r="E791" i="9" l="1"/>
  <c r="E790" i="9" s="1"/>
  <c r="E789" i="9" s="1"/>
  <c r="F791" i="9"/>
  <c r="F790" i="9" s="1"/>
  <c r="F789" i="9" s="1"/>
  <c r="F219" i="7"/>
  <c r="F218" i="7" s="1"/>
  <c r="E672" i="9"/>
  <c r="E671" i="9" s="1"/>
  <c r="E670" i="9" s="1"/>
  <c r="F672" i="9"/>
  <c r="F671" i="9" s="1"/>
  <c r="F670" i="9" s="1"/>
  <c r="F534" i="7"/>
  <c r="F533" i="7" s="1"/>
  <c r="J574" i="7"/>
  <c r="H574" i="7"/>
  <c r="F574" i="7"/>
  <c r="D730" i="9" s="1"/>
  <c r="D729" i="9" s="1"/>
  <c r="D728" i="9" s="1"/>
  <c r="D727" i="9" s="1"/>
  <c r="AF1041" i="2"/>
  <c r="AF1040" i="2" s="1"/>
  <c r="AF1039" i="2" s="1"/>
  <c r="AE1041" i="2"/>
  <c r="AE1040" i="2" s="1"/>
  <c r="AE1039" i="2" s="1"/>
  <c r="AD1041" i="2"/>
  <c r="AD1040" i="2" s="1"/>
  <c r="AD1039" i="2" s="1"/>
  <c r="AF139" i="2"/>
  <c r="AE139" i="2"/>
  <c r="H573" i="7" l="1"/>
  <c r="H572" i="7" s="1"/>
  <c r="H571" i="7" s="1"/>
  <c r="E730" i="9"/>
  <c r="E729" i="9" s="1"/>
  <c r="E728" i="9" s="1"/>
  <c r="E727" i="9" s="1"/>
  <c r="J573" i="7"/>
  <c r="J572" i="7" s="1"/>
  <c r="J571" i="7" s="1"/>
  <c r="F730" i="9"/>
  <c r="F729" i="9" s="1"/>
  <c r="F728" i="9" s="1"/>
  <c r="F727" i="9" s="1"/>
  <c r="F573" i="7"/>
  <c r="F572" i="7" s="1"/>
  <c r="F571" i="7" s="1"/>
  <c r="J546" i="7"/>
  <c r="F687" i="9" s="1"/>
  <c r="F686" i="9" s="1"/>
  <c r="F685" i="9" s="1"/>
  <c r="H546" i="7"/>
  <c r="E687" i="9" s="1"/>
  <c r="E686" i="9" s="1"/>
  <c r="E685" i="9" s="1"/>
  <c r="F546" i="7"/>
  <c r="D687" i="9" s="1"/>
  <c r="D686" i="9" s="1"/>
  <c r="D685" i="9" s="1"/>
  <c r="H451" i="7"/>
  <c r="H450" i="7" s="1"/>
  <c r="H449" i="7" s="1"/>
  <c r="J451" i="7"/>
  <c r="J450" i="7" s="1"/>
  <c r="J449" i="7" s="1"/>
  <c r="F451" i="7"/>
  <c r="F450" i="7" s="1"/>
  <c r="F449" i="7" s="1"/>
  <c r="F226" i="7"/>
  <c r="F225" i="7" s="1"/>
  <c r="F221" i="7" s="1"/>
  <c r="AE970" i="2"/>
  <c r="AE969" i="2" s="1"/>
  <c r="AF970" i="2"/>
  <c r="AF969" i="2" s="1"/>
  <c r="AD970" i="2"/>
  <c r="AD969" i="2" s="1"/>
  <c r="AE1022" i="2"/>
  <c r="AE1021" i="2" s="1"/>
  <c r="AF1022" i="2"/>
  <c r="AF1021" i="2" s="1"/>
  <c r="AD1022" i="2"/>
  <c r="AD1021" i="2" s="1"/>
  <c r="E419" i="9" l="1"/>
  <c r="E418" i="9" s="1"/>
  <c r="E417" i="9" s="1"/>
  <c r="F545" i="7"/>
  <c r="F544" i="7" s="1"/>
  <c r="H545" i="7"/>
  <c r="H544" i="7" s="1"/>
  <c r="J545" i="7"/>
  <c r="J544" i="7" s="1"/>
  <c r="D419" i="9"/>
  <c r="D418" i="9" s="1"/>
  <c r="D417" i="9" s="1"/>
  <c r="F419" i="9"/>
  <c r="F418" i="9" s="1"/>
  <c r="F417" i="9" s="1"/>
  <c r="J962" i="7" l="1"/>
  <c r="F254" i="9" s="1"/>
  <c r="H962" i="7"/>
  <c r="E254" i="9" s="1"/>
  <c r="F962" i="7"/>
  <c r="J963" i="7"/>
  <c r="H963" i="7"/>
  <c r="F963" i="7"/>
  <c r="D255" i="9" s="1"/>
  <c r="AF529" i="2"/>
  <c r="AE529" i="2"/>
  <c r="AE530" i="2"/>
  <c r="AF530" i="2"/>
  <c r="AD530" i="2"/>
  <c r="F961" i="7" l="1"/>
  <c r="H961" i="7"/>
  <c r="D254" i="9"/>
  <c r="D253" i="9" s="1"/>
  <c r="J961" i="7"/>
  <c r="E255" i="9"/>
  <c r="E253" i="9" s="1"/>
  <c r="F255" i="9"/>
  <c r="F253" i="9" s="1"/>
  <c r="J138" i="7"/>
  <c r="H138" i="7"/>
  <c r="AE885" i="2"/>
  <c r="AE884" i="2" s="1"/>
  <c r="AE883" i="2" s="1"/>
  <c r="AE882" i="2" s="1"/>
  <c r="AF885" i="2"/>
  <c r="AF884" i="2" s="1"/>
  <c r="AF883" i="2" s="1"/>
  <c r="AF882" i="2" s="1"/>
  <c r="AD885" i="2"/>
  <c r="AD884" i="2" s="1"/>
  <c r="AD883" i="2" s="1"/>
  <c r="AD882" i="2" s="1"/>
  <c r="AE881" i="2" l="1"/>
  <c r="AE880" i="2" s="1"/>
  <c r="AD881" i="2"/>
  <c r="AD880" i="2" s="1"/>
  <c r="AF881" i="2"/>
  <c r="AF880" i="2" s="1"/>
  <c r="G15" i="9"/>
  <c r="H15" i="9"/>
  <c r="I15" i="9"/>
  <c r="J15" i="9"/>
  <c r="K15" i="9"/>
  <c r="L15" i="9"/>
  <c r="M15" i="9"/>
  <c r="N15" i="9"/>
  <c r="O15" i="9"/>
  <c r="P15" i="9"/>
  <c r="Q15" i="9"/>
  <c r="R15" i="9"/>
  <c r="S15" i="9"/>
  <c r="T15" i="9"/>
  <c r="U15" i="9"/>
  <c r="V15" i="9"/>
  <c r="W15" i="9"/>
  <c r="X15" i="9"/>
  <c r="Y15" i="9"/>
  <c r="Z15" i="9"/>
  <c r="AA15" i="9"/>
  <c r="AB15" i="9"/>
  <c r="AC15" i="9"/>
  <c r="AD15" i="9"/>
  <c r="J896" i="7"/>
  <c r="H896" i="7"/>
  <c r="H895" i="7" s="1"/>
  <c r="H894" i="7" s="1"/>
  <c r="H893" i="7" s="1"/>
  <c r="H892" i="7" s="1"/>
  <c r="H891" i="7" s="1"/>
  <c r="H890" i="7" s="1"/>
  <c r="F896" i="7"/>
  <c r="F895" i="7" s="1"/>
  <c r="F894" i="7" s="1"/>
  <c r="F893" i="7" s="1"/>
  <c r="F892" i="7" s="1"/>
  <c r="F891" i="7" s="1"/>
  <c r="F890" i="7" s="1"/>
  <c r="AD490" i="2"/>
  <c r="AD489" i="2" s="1"/>
  <c r="AD488" i="2" s="1"/>
  <c r="AD487" i="2" s="1"/>
  <c r="AD486" i="2" s="1"/>
  <c r="AD485" i="2" s="1"/>
  <c r="AD484" i="2" s="1"/>
  <c r="AF490" i="2"/>
  <c r="AF489" i="2" s="1"/>
  <c r="AF488" i="2" s="1"/>
  <c r="AF487" i="2" s="1"/>
  <c r="AF486" i="2" s="1"/>
  <c r="AF485" i="2" s="1"/>
  <c r="AF484" i="2" s="1"/>
  <c r="AE490" i="2"/>
  <c r="AE489" i="2" s="1"/>
  <c r="AE488" i="2" s="1"/>
  <c r="AE487" i="2" s="1"/>
  <c r="AE486" i="2" s="1"/>
  <c r="AE485" i="2" s="1"/>
  <c r="AE484" i="2" s="1"/>
  <c r="F889" i="7" l="1"/>
  <c r="D54" i="10"/>
  <c r="D53" i="10" s="1"/>
  <c r="H889" i="7"/>
  <c r="E54" i="10"/>
  <c r="E53" i="10" s="1"/>
  <c r="J895" i="7"/>
  <c r="J894" i="7" s="1"/>
  <c r="J893" i="7" s="1"/>
  <c r="J892" i="7" s="1"/>
  <c r="J891" i="7" s="1"/>
  <c r="J890" i="7" s="1"/>
  <c r="J889" i="7" s="1"/>
  <c r="F54" i="10"/>
  <c r="F53" i="10" s="1"/>
  <c r="D18" i="9"/>
  <c r="D17" i="9" s="1"/>
  <c r="D16" i="9" s="1"/>
  <c r="D15" i="9" s="1"/>
  <c r="D14" i="9" s="1"/>
  <c r="D13" i="9" s="1"/>
  <c r="E18" i="9"/>
  <c r="E17" i="9" s="1"/>
  <c r="E16" i="9" s="1"/>
  <c r="E15" i="9" s="1"/>
  <c r="E14" i="9" s="1"/>
  <c r="E13" i="9" s="1"/>
  <c r="F18" i="9"/>
  <c r="F17" i="9" s="1"/>
  <c r="F16" i="9" s="1"/>
  <c r="F15" i="9" s="1"/>
  <c r="F14" i="9" s="1"/>
  <c r="F13" i="9" s="1"/>
  <c r="G52" i="9"/>
  <c r="H52" i="9"/>
  <c r="I52" i="9"/>
  <c r="J52" i="9"/>
  <c r="K52" i="9"/>
  <c r="L52" i="9"/>
  <c r="M52" i="9"/>
  <c r="N52" i="9"/>
  <c r="O52" i="9"/>
  <c r="P52" i="9"/>
  <c r="Q52" i="9"/>
  <c r="R52" i="9"/>
  <c r="S52" i="9"/>
  <c r="T52" i="9"/>
  <c r="U52" i="9"/>
  <c r="V52" i="9"/>
  <c r="W52" i="9"/>
  <c r="X52" i="9"/>
  <c r="Y52" i="9"/>
  <c r="Z52" i="9"/>
  <c r="AA52" i="9"/>
  <c r="AB52" i="9"/>
  <c r="AC52" i="9"/>
  <c r="AD52" i="9"/>
  <c r="J859" i="7"/>
  <c r="F54" i="9" s="1"/>
  <c r="F53" i="9" s="1"/>
  <c r="H859" i="7"/>
  <c r="E54" i="9" s="1"/>
  <c r="E53" i="9" s="1"/>
  <c r="F859" i="7"/>
  <c r="D54" i="9" s="1"/>
  <c r="D53" i="9" s="1"/>
  <c r="AE452" i="2"/>
  <c r="AF452" i="2"/>
  <c r="AD452" i="2"/>
  <c r="F858" i="7" l="1"/>
  <c r="J858" i="7"/>
  <c r="H858" i="7"/>
  <c r="J611" i="7"/>
  <c r="J610" i="7" s="1"/>
  <c r="J609" i="7" s="1"/>
  <c r="J608" i="7" s="1"/>
  <c r="H611" i="7"/>
  <c r="E383" i="9" s="1"/>
  <c r="E382" i="9" s="1"/>
  <c r="E381" i="9" s="1"/>
  <c r="E380" i="9" s="1"/>
  <c r="F611" i="7"/>
  <c r="D383" i="9" s="1"/>
  <c r="D382" i="9" s="1"/>
  <c r="D381" i="9" s="1"/>
  <c r="D380" i="9" s="1"/>
  <c r="AE1078" i="2"/>
  <c r="AE1077" i="2" s="1"/>
  <c r="AF1078" i="2"/>
  <c r="AF1077" i="2" s="1"/>
  <c r="AD1078" i="2"/>
  <c r="AD1077" i="2" s="1"/>
  <c r="G661" i="9"/>
  <c r="G654" i="9" s="1"/>
  <c r="H661" i="9"/>
  <c r="H654" i="9" s="1"/>
  <c r="I661" i="9"/>
  <c r="I654" i="9" s="1"/>
  <c r="J661" i="9"/>
  <c r="J654" i="9" s="1"/>
  <c r="K661" i="9"/>
  <c r="K654" i="9" s="1"/>
  <c r="L661" i="9"/>
  <c r="L654" i="9" s="1"/>
  <c r="M661" i="9"/>
  <c r="M654" i="9" s="1"/>
  <c r="N661" i="9"/>
  <c r="N654" i="9" s="1"/>
  <c r="O661" i="9"/>
  <c r="O654" i="9" s="1"/>
  <c r="P661" i="9"/>
  <c r="P654" i="9" s="1"/>
  <c r="Q661" i="9"/>
  <c r="Q654" i="9" s="1"/>
  <c r="R661" i="9"/>
  <c r="R654" i="9" s="1"/>
  <c r="S661" i="9"/>
  <c r="S654" i="9" s="1"/>
  <c r="T661" i="9"/>
  <c r="T654" i="9" s="1"/>
  <c r="U661" i="9"/>
  <c r="U654" i="9" s="1"/>
  <c r="V661" i="9"/>
  <c r="V654" i="9" s="1"/>
  <c r="W661" i="9"/>
  <c r="W654" i="9" s="1"/>
  <c r="X661" i="9"/>
  <c r="X654" i="9" s="1"/>
  <c r="Y661" i="9"/>
  <c r="Y654" i="9" s="1"/>
  <c r="Z661" i="9"/>
  <c r="Z654" i="9" s="1"/>
  <c r="AA661" i="9"/>
  <c r="AA654" i="9" s="1"/>
  <c r="AB661" i="9"/>
  <c r="AB654" i="9" s="1"/>
  <c r="AC661" i="9"/>
  <c r="AC654" i="9" s="1"/>
  <c r="AD661" i="9"/>
  <c r="AD654" i="9" s="1"/>
  <c r="J526" i="7"/>
  <c r="J525" i="7" s="1"/>
  <c r="J524" i="7" s="1"/>
  <c r="H526" i="7"/>
  <c r="H525" i="7" s="1"/>
  <c r="H524" i="7" s="1"/>
  <c r="F526" i="7"/>
  <c r="F525" i="7" s="1"/>
  <c r="F524" i="7" s="1"/>
  <c r="AE1004" i="2"/>
  <c r="AE1003" i="2" s="1"/>
  <c r="AF1004" i="2"/>
  <c r="AF1003" i="2" s="1"/>
  <c r="AD1004" i="2"/>
  <c r="AD1003" i="2" s="1"/>
  <c r="F383" i="9" l="1"/>
  <c r="F382" i="9" s="1"/>
  <c r="F381" i="9" s="1"/>
  <c r="F380" i="9" s="1"/>
  <c r="F610" i="7"/>
  <c r="F609" i="7" s="1"/>
  <c r="F608" i="7" s="1"/>
  <c r="H610" i="7"/>
  <c r="H609" i="7" s="1"/>
  <c r="H608" i="7" s="1"/>
  <c r="D663" i="9"/>
  <c r="D662" i="9" s="1"/>
  <c r="D661" i="9" s="1"/>
  <c r="F663" i="9"/>
  <c r="F662" i="9" s="1"/>
  <c r="F661" i="9" s="1"/>
  <c r="E663" i="9"/>
  <c r="E662" i="9" s="1"/>
  <c r="E661" i="9" s="1"/>
  <c r="H226" i="7" l="1"/>
  <c r="H225" i="7" s="1"/>
  <c r="H221" i="7" s="1"/>
  <c r="AD483" i="2"/>
  <c r="J774" i="7" l="1"/>
  <c r="J773" i="7" s="1"/>
  <c r="H774" i="7"/>
  <c r="H773" i="7" s="1"/>
  <c r="F774" i="7"/>
  <c r="F773" i="7" s="1"/>
  <c r="AE394" i="2"/>
  <c r="AF394" i="2"/>
  <c r="AD394" i="2"/>
  <c r="AF393" i="2"/>
  <c r="AE393" i="2"/>
  <c r="J278" i="7"/>
  <c r="J277" i="7" s="1"/>
  <c r="H278" i="7"/>
  <c r="H277" i="7" s="1"/>
  <c r="F278" i="7"/>
  <c r="D344" i="9" s="1"/>
  <c r="D343" i="9" s="1"/>
  <c r="AE197" i="2"/>
  <c r="AF197" i="2"/>
  <c r="AD197" i="2"/>
  <c r="D578" i="9" l="1"/>
  <c r="D577" i="9" s="1"/>
  <c r="F277" i="7"/>
  <c r="E578" i="9"/>
  <c r="E577" i="9" s="1"/>
  <c r="F578" i="9"/>
  <c r="F577" i="9" s="1"/>
  <c r="E344" i="9"/>
  <c r="E343" i="9" s="1"/>
  <c r="F344" i="9"/>
  <c r="F343" i="9" s="1"/>
  <c r="AD775" i="2"/>
  <c r="K848" i="7" l="1"/>
  <c r="K847" i="7" s="1"/>
  <c r="K840" i="7" s="1"/>
  <c r="K839" i="7" l="1"/>
  <c r="K824" i="7" s="1"/>
  <c r="K823" i="7" s="1"/>
  <c r="K822" i="7" s="1"/>
  <c r="AF1107" i="2"/>
  <c r="AE1107" i="2"/>
  <c r="AD1107" i="2"/>
  <c r="J701" i="7"/>
  <c r="J700" i="7" s="1"/>
  <c r="J699" i="7" s="1"/>
  <c r="H701" i="7"/>
  <c r="E166" i="9" s="1"/>
  <c r="E165" i="9" s="1"/>
  <c r="E164" i="9" s="1"/>
  <c r="F701" i="7"/>
  <c r="D166" i="9" s="1"/>
  <c r="D165" i="9" s="1"/>
  <c r="D164" i="9" s="1"/>
  <c r="AE778" i="2"/>
  <c r="AE777" i="2" s="1"/>
  <c r="AF778" i="2"/>
  <c r="AF777" i="2" s="1"/>
  <c r="AD778" i="2"/>
  <c r="AD777" i="2" s="1"/>
  <c r="AF741" i="2"/>
  <c r="AE741" i="2"/>
  <c r="AF714" i="2"/>
  <c r="AE714" i="2"/>
  <c r="F162" i="9"/>
  <c r="F161" i="9" s="1"/>
  <c r="F160" i="9" s="1"/>
  <c r="F159" i="9" s="1"/>
  <c r="G696" i="7"/>
  <c r="G695" i="7" s="1"/>
  <c r="G694" i="7" s="1"/>
  <c r="J697" i="7"/>
  <c r="J696" i="7" s="1"/>
  <c r="J695" i="7" s="1"/>
  <c r="J694" i="7" s="1"/>
  <c r="H697" i="7"/>
  <c r="H696" i="7" s="1"/>
  <c r="H695" i="7" s="1"/>
  <c r="H694" i="7" s="1"/>
  <c r="F697" i="7"/>
  <c r="D162" i="9" s="1"/>
  <c r="D161" i="9" s="1"/>
  <c r="D160" i="9" s="1"/>
  <c r="D159" i="9" s="1"/>
  <c r="AE774" i="2"/>
  <c r="AE773" i="2" s="1"/>
  <c r="AE772" i="2" s="1"/>
  <c r="AF774" i="2"/>
  <c r="AF773" i="2" s="1"/>
  <c r="AF772" i="2" s="1"/>
  <c r="AD774" i="2"/>
  <c r="AD773" i="2" s="1"/>
  <c r="AD772" i="2" s="1"/>
  <c r="K678" i="7"/>
  <c r="K677" i="7" s="1"/>
  <c r="J728" i="7"/>
  <c r="F89" i="9" s="1"/>
  <c r="F88" i="9" s="1"/>
  <c r="F87" i="9" s="1"/>
  <c r="F83" i="9" s="1"/>
  <c r="H728" i="7"/>
  <c r="H727" i="7" s="1"/>
  <c r="H726" i="7" s="1"/>
  <c r="H722" i="7" s="1"/>
  <c r="F728" i="7"/>
  <c r="G728" i="7" s="1"/>
  <c r="G727" i="7" s="1"/>
  <c r="G726" i="7" s="1"/>
  <c r="G722" i="7" s="1"/>
  <c r="AE375" i="2"/>
  <c r="AE374" i="2" s="1"/>
  <c r="AE370" i="2" s="1"/>
  <c r="AF375" i="2"/>
  <c r="AF374" i="2" s="1"/>
  <c r="AF370" i="2" s="1"/>
  <c r="AD375" i="2"/>
  <c r="AD374" i="2" s="1"/>
  <c r="AD370" i="2" s="1"/>
  <c r="G731" i="7"/>
  <c r="G730" i="7" s="1"/>
  <c r="G729" i="7" s="1"/>
  <c r="J732" i="7"/>
  <c r="J731" i="7" s="1"/>
  <c r="J730" i="7" s="1"/>
  <c r="J729" i="7" s="1"/>
  <c r="H732" i="7"/>
  <c r="H731" i="7" s="1"/>
  <c r="H730" i="7" s="1"/>
  <c r="H729" i="7" s="1"/>
  <c r="AE379" i="2"/>
  <c r="AE378" i="2" s="1"/>
  <c r="AE377" i="2" s="1"/>
  <c r="AF379" i="2"/>
  <c r="AF378" i="2" s="1"/>
  <c r="AF377" i="2" s="1"/>
  <c r="AD380" i="2"/>
  <c r="F732" i="7" s="1"/>
  <c r="F731" i="7" s="1"/>
  <c r="F730" i="7" s="1"/>
  <c r="F729" i="7" s="1"/>
  <c r="AF443" i="2"/>
  <c r="AE443" i="2"/>
  <c r="AD443" i="2"/>
  <c r="AD379" i="2" l="1"/>
  <c r="AD378" i="2" s="1"/>
  <c r="AD377" i="2" s="1"/>
  <c r="F700" i="7"/>
  <c r="F699" i="7" s="1"/>
  <c r="G701" i="7"/>
  <c r="G700" i="7" s="1"/>
  <c r="G699" i="7" s="1"/>
  <c r="I701" i="7"/>
  <c r="I700" i="7" s="1"/>
  <c r="I699" i="7" s="1"/>
  <c r="F166" i="9"/>
  <c r="F165" i="9" s="1"/>
  <c r="F164" i="9" s="1"/>
  <c r="K701" i="7"/>
  <c r="K700" i="7" s="1"/>
  <c r="K699" i="7" s="1"/>
  <c r="H700" i="7"/>
  <c r="H699" i="7" s="1"/>
  <c r="F696" i="7"/>
  <c r="F695" i="7" s="1"/>
  <c r="F694" i="7" s="1"/>
  <c r="E162" i="9"/>
  <c r="E161" i="9" s="1"/>
  <c r="E160" i="9" s="1"/>
  <c r="E159" i="9" s="1"/>
  <c r="G717" i="7"/>
  <c r="F727" i="7"/>
  <c r="F726" i="7" s="1"/>
  <c r="F722" i="7" s="1"/>
  <c r="D89" i="9"/>
  <c r="D88" i="9" s="1"/>
  <c r="D87" i="9" s="1"/>
  <c r="D83" i="9" s="1"/>
  <c r="E89" i="9"/>
  <c r="E88" i="9" s="1"/>
  <c r="E87" i="9" s="1"/>
  <c r="E83" i="9" s="1"/>
  <c r="J727" i="7"/>
  <c r="J726" i="7" s="1"/>
  <c r="J722" i="7" s="1"/>
  <c r="E93" i="9"/>
  <c r="E92" i="9" s="1"/>
  <c r="E91" i="9" s="1"/>
  <c r="E90" i="9" s="1"/>
  <c r="F93" i="9"/>
  <c r="F92" i="9" s="1"/>
  <c r="F91" i="9" s="1"/>
  <c r="F90" i="9" s="1"/>
  <c r="D93" i="9"/>
  <c r="D92" i="9" s="1"/>
  <c r="D91" i="9" s="1"/>
  <c r="D90" i="9" s="1"/>
  <c r="AF757" i="2" l="1"/>
  <c r="AD757" i="2"/>
  <c r="AE964" i="2" l="1"/>
  <c r="AE1018" i="2"/>
  <c r="H942" i="7" l="1"/>
  <c r="H941" i="7" s="1"/>
  <c r="H940" i="7" s="1"/>
  <c r="H939" i="7" s="1"/>
  <c r="H938" i="7" s="1"/>
  <c r="G716" i="7" l="1"/>
  <c r="G250" i="9"/>
  <c r="H250" i="9"/>
  <c r="I250" i="9"/>
  <c r="J250" i="9"/>
  <c r="K250" i="9"/>
  <c r="L250" i="9"/>
  <c r="M250" i="9"/>
  <c r="N250" i="9"/>
  <c r="O250" i="9"/>
  <c r="P250" i="9"/>
  <c r="Q250" i="9"/>
  <c r="R250" i="9"/>
  <c r="S250" i="9"/>
  <c r="T250" i="9"/>
  <c r="U250" i="9"/>
  <c r="V250" i="9"/>
  <c r="W250" i="9"/>
  <c r="X250" i="9"/>
  <c r="Y250" i="9"/>
  <c r="Z250" i="9"/>
  <c r="AA250" i="9"/>
  <c r="AB250" i="9"/>
  <c r="AC250" i="9"/>
  <c r="AD250" i="9"/>
  <c r="AF955" i="2" l="1"/>
  <c r="G135" i="9" l="1"/>
  <c r="H135" i="9"/>
  <c r="I135" i="9"/>
  <c r="J135" i="9"/>
  <c r="K135" i="9"/>
  <c r="L135" i="9"/>
  <c r="M135" i="9"/>
  <c r="N135" i="9"/>
  <c r="O135" i="9"/>
  <c r="P135" i="9"/>
  <c r="Q135" i="9"/>
  <c r="R135" i="9"/>
  <c r="S135" i="9"/>
  <c r="T135" i="9"/>
  <c r="U135" i="9"/>
  <c r="V135" i="9"/>
  <c r="W135" i="9"/>
  <c r="X135" i="9"/>
  <c r="Y135" i="9"/>
  <c r="Z135" i="9"/>
  <c r="AA135" i="9"/>
  <c r="AB135" i="9"/>
  <c r="AC135" i="9"/>
  <c r="AD135" i="9"/>
  <c r="AD992" i="2"/>
  <c r="AF606" i="2" l="1"/>
  <c r="AE606" i="2"/>
  <c r="AD606" i="2"/>
  <c r="I434" i="7" l="1"/>
  <c r="I433" i="7" s="1"/>
  <c r="K434" i="7"/>
  <c r="K433" i="7" s="1"/>
  <c r="J435" i="7"/>
  <c r="I437" i="7"/>
  <c r="I436" i="7" s="1"/>
  <c r="K437" i="7"/>
  <c r="K436" i="7" s="1"/>
  <c r="F435" i="7"/>
  <c r="F434" i="7" s="1"/>
  <c r="F438" i="7"/>
  <c r="F437" i="7" s="1"/>
  <c r="F436" i="7" s="1"/>
  <c r="I432" i="7" l="1"/>
  <c r="K432" i="7"/>
  <c r="F403" i="9"/>
  <c r="F402" i="9" s="1"/>
  <c r="F401" i="9" s="1"/>
  <c r="D406" i="9"/>
  <c r="D405" i="9" s="1"/>
  <c r="D404" i="9" s="1"/>
  <c r="J434" i="7"/>
  <c r="J433" i="7" s="1"/>
  <c r="D403" i="9"/>
  <c r="D402" i="9" s="1"/>
  <c r="D401" i="9" s="1"/>
  <c r="AE955" i="2"/>
  <c r="H435" i="7" s="1"/>
  <c r="E403" i="9" s="1"/>
  <c r="E402" i="9" s="1"/>
  <c r="E401" i="9" s="1"/>
  <c r="AD957" i="2"/>
  <c r="AD956" i="2" s="1"/>
  <c r="AF958" i="2"/>
  <c r="J438" i="7" s="1"/>
  <c r="F406" i="9" s="1"/>
  <c r="F405" i="9" s="1"/>
  <c r="F404" i="9" s="1"/>
  <c r="AE958" i="2"/>
  <c r="AF37" i="2"/>
  <c r="AF35" i="2"/>
  <c r="K424" i="7" l="1"/>
  <c r="K423" i="7" s="1"/>
  <c r="K417" i="7" s="1"/>
  <c r="K416" i="7" s="1"/>
  <c r="D400" i="9"/>
  <c r="AF34" i="2"/>
  <c r="F400" i="9"/>
  <c r="H434" i="7"/>
  <c r="H433" i="7" s="1"/>
  <c r="AE957" i="2"/>
  <c r="AE956" i="2" s="1"/>
  <c r="H438" i="7"/>
  <c r="J437" i="7"/>
  <c r="J436" i="7" s="1"/>
  <c r="J432" i="7" s="1"/>
  <c r="AF957" i="2"/>
  <c r="AF956" i="2" s="1"/>
  <c r="E406" i="9" l="1"/>
  <c r="E405" i="9" s="1"/>
  <c r="E404" i="9" s="1"/>
  <c r="E400" i="9" s="1"/>
  <c r="H437" i="7"/>
  <c r="H436" i="7" s="1"/>
  <c r="H432" i="7" s="1"/>
  <c r="AE37" i="2"/>
  <c r="AE35" i="2"/>
  <c r="G447" i="9"/>
  <c r="H447" i="9"/>
  <c r="I447" i="9"/>
  <c r="J447" i="9"/>
  <c r="K447" i="9"/>
  <c r="L447" i="9"/>
  <c r="M447" i="9"/>
  <c r="N447" i="9"/>
  <c r="O447" i="9"/>
  <c r="P447" i="9"/>
  <c r="Q447" i="9"/>
  <c r="R447" i="9"/>
  <c r="S447" i="9"/>
  <c r="T447" i="9"/>
  <c r="U447" i="9"/>
  <c r="V447" i="9"/>
  <c r="W447" i="9"/>
  <c r="X447" i="9"/>
  <c r="Y447" i="9"/>
  <c r="Z447" i="9"/>
  <c r="AA447" i="9"/>
  <c r="AB447" i="9"/>
  <c r="AC447" i="9"/>
  <c r="AD447" i="9"/>
  <c r="F861" i="7"/>
  <c r="AE34" i="2" l="1"/>
  <c r="AF917" i="2"/>
  <c r="AE917" i="2"/>
  <c r="G597" i="9" l="1"/>
  <c r="H597" i="9"/>
  <c r="I597" i="9"/>
  <c r="J597" i="9"/>
  <c r="K597" i="9"/>
  <c r="L597" i="9"/>
  <c r="M597" i="9"/>
  <c r="N597" i="9"/>
  <c r="O597" i="9"/>
  <c r="P597" i="9"/>
  <c r="Q597" i="9"/>
  <c r="R597" i="9"/>
  <c r="S597" i="9"/>
  <c r="T597" i="9"/>
  <c r="U597" i="9"/>
  <c r="V597" i="9"/>
  <c r="W597" i="9"/>
  <c r="X597" i="9"/>
  <c r="Y597" i="9"/>
  <c r="Z597" i="9"/>
  <c r="AA597" i="9"/>
  <c r="AB597" i="9"/>
  <c r="AC597" i="9"/>
  <c r="AD597" i="9"/>
  <c r="J353" i="7"/>
  <c r="H353" i="7"/>
  <c r="F353" i="7"/>
  <c r="H348" i="7"/>
  <c r="J348" i="7"/>
  <c r="F348" i="7"/>
  <c r="AE916" i="2"/>
  <c r="AE915" i="2" s="1"/>
  <c r="AE914" i="2" s="1"/>
  <c r="AE905" i="2" s="1"/>
  <c r="AF916" i="2"/>
  <c r="AF915" i="2" s="1"/>
  <c r="AF914" i="2" s="1"/>
  <c r="AF905" i="2" s="1"/>
  <c r="J347" i="7" l="1"/>
  <c r="H347" i="7"/>
  <c r="F352" i="7"/>
  <c r="F351" i="7" s="1"/>
  <c r="F350" i="7" s="1"/>
  <c r="F349" i="7" s="1"/>
  <c r="AD916" i="2"/>
  <c r="AD915" i="2" s="1"/>
  <c r="AD914" i="2" s="1"/>
  <c r="AD905" i="2" s="1"/>
  <c r="D621" i="9"/>
  <c r="D620" i="9" s="1"/>
  <c r="D619" i="9" s="1"/>
  <c r="D618" i="9" s="1"/>
  <c r="D617" i="9" s="1"/>
  <c r="E616" i="9"/>
  <c r="F616" i="9"/>
  <c r="F347" i="7"/>
  <c r="D616" i="9"/>
  <c r="F621" i="9"/>
  <c r="F620" i="9" s="1"/>
  <c r="F619" i="9" s="1"/>
  <c r="F618" i="9" s="1"/>
  <c r="F617" i="9" s="1"/>
  <c r="J352" i="7"/>
  <c r="J351" i="7" s="1"/>
  <c r="J350" i="7" s="1"/>
  <c r="J349" i="7" s="1"/>
  <c r="E621" i="9"/>
  <c r="E620" i="9" s="1"/>
  <c r="E619" i="9" s="1"/>
  <c r="E618" i="9" s="1"/>
  <c r="E617" i="9" s="1"/>
  <c r="H352" i="7"/>
  <c r="H351" i="7" s="1"/>
  <c r="H350" i="7" s="1"/>
  <c r="H349" i="7" s="1"/>
  <c r="J148" i="7"/>
  <c r="H148" i="7"/>
  <c r="J514" i="7"/>
  <c r="H514" i="7"/>
  <c r="F514" i="7" l="1"/>
  <c r="D651" i="9" s="1"/>
  <c r="AE335" i="2"/>
  <c r="AE334" i="2" s="1"/>
  <c r="AE333" i="2" s="1"/>
  <c r="AE332" i="2" s="1"/>
  <c r="AE331" i="2" s="1"/>
  <c r="AE329" i="2"/>
  <c r="AE328" i="2" s="1"/>
  <c r="AE327" i="2" s="1"/>
  <c r="AE326" i="2" s="1"/>
  <c r="AF118" i="2" l="1"/>
  <c r="AE265" i="2"/>
  <c r="AE264" i="2" s="1"/>
  <c r="AE263" i="2" s="1"/>
  <c r="AE261" i="2"/>
  <c r="AE260" i="2" s="1"/>
  <c r="AE259" i="2" s="1"/>
  <c r="AE257" i="2"/>
  <c r="AE256" i="2" s="1"/>
  <c r="AE255" i="2" s="1"/>
  <c r="AD261" i="2"/>
  <c r="AD260" i="2" s="1"/>
  <c r="AD259" i="2" s="1"/>
  <c r="AD265" i="2"/>
  <c r="AD264" i="2" s="1"/>
  <c r="AD263" i="2" s="1"/>
  <c r="F371" i="7"/>
  <c r="F375" i="7"/>
  <c r="F374" i="7" s="1"/>
  <c r="F373" i="7" s="1"/>
  <c r="F372" i="7" s="1"/>
  <c r="F379" i="7" l="1"/>
  <c r="F378" i="7" s="1"/>
  <c r="F377" i="7" s="1"/>
  <c r="F376" i="7" s="1"/>
  <c r="J621" i="7" l="1"/>
  <c r="J620" i="7" s="1"/>
  <c r="J619" i="7" s="1"/>
  <c r="H621" i="7"/>
  <c r="H620" i="7" s="1"/>
  <c r="H619" i="7" s="1"/>
  <c r="F620" i="7"/>
  <c r="F619" i="7" s="1"/>
  <c r="AF360" i="2"/>
  <c r="AF359" i="2" s="1"/>
  <c r="AF358" i="2" s="1"/>
  <c r="AF357" i="2" s="1"/>
  <c r="AF356" i="2" s="1"/>
  <c r="AF355" i="2" s="1"/>
  <c r="AF354" i="2" s="1"/>
  <c r="AE360" i="2"/>
  <c r="AE359" i="2" s="1"/>
  <c r="AE358" i="2" s="1"/>
  <c r="AE357" i="2" s="1"/>
  <c r="AE356" i="2" s="1"/>
  <c r="AE355" i="2" s="1"/>
  <c r="AE354" i="2" s="1"/>
  <c r="AD360" i="2"/>
  <c r="AD359" i="2" s="1"/>
  <c r="AD358" i="2" s="1"/>
  <c r="AD357" i="2" s="1"/>
  <c r="AD356" i="2" s="1"/>
  <c r="AD355" i="2" s="1"/>
  <c r="AD354" i="2" s="1"/>
  <c r="F618" i="7" l="1"/>
  <c r="F617" i="7" s="1"/>
  <c r="F616" i="7" s="1"/>
  <c r="F615" i="7" s="1"/>
  <c r="D44" i="10" s="1"/>
  <c r="H618" i="7"/>
  <c r="H617" i="7" s="1"/>
  <c r="H616" i="7" s="1"/>
  <c r="H615" i="7" s="1"/>
  <c r="E44" i="10" s="1"/>
  <c r="J618" i="7"/>
  <c r="J617" i="7" s="1"/>
  <c r="J616" i="7" s="1"/>
  <c r="J615" i="7" s="1"/>
  <c r="F44" i="10" s="1"/>
  <c r="D282" i="9"/>
  <c r="D281" i="9" s="1"/>
  <c r="D280" i="9" s="1"/>
  <c r="E282" i="9"/>
  <c r="E281" i="9" s="1"/>
  <c r="E280" i="9" s="1"/>
  <c r="F282" i="9"/>
  <c r="F281" i="9" s="1"/>
  <c r="F280" i="9" s="1"/>
  <c r="E279" i="9" l="1"/>
  <c r="E278" i="9" s="1"/>
  <c r="E277" i="9" s="1"/>
  <c r="F279" i="9"/>
  <c r="F278" i="9" s="1"/>
  <c r="F277" i="9" s="1"/>
  <c r="D279" i="9"/>
  <c r="D278" i="9" s="1"/>
  <c r="D277" i="9" s="1"/>
  <c r="AE482" i="2"/>
  <c r="AE481" i="2" s="1"/>
  <c r="AE480" i="2" s="1"/>
  <c r="AE479" i="2" s="1"/>
  <c r="AE478" i="2" s="1"/>
  <c r="AE477" i="2" s="1"/>
  <c r="AF482" i="2"/>
  <c r="AF481" i="2" s="1"/>
  <c r="AF480" i="2" s="1"/>
  <c r="AF479" i="2" s="1"/>
  <c r="AF478" i="2" s="1"/>
  <c r="AF477" i="2" s="1"/>
  <c r="G681" i="9"/>
  <c r="H681" i="9"/>
  <c r="I681" i="9"/>
  <c r="J681" i="9"/>
  <c r="K681" i="9"/>
  <c r="L681" i="9"/>
  <c r="M681" i="9"/>
  <c r="N681" i="9"/>
  <c r="O681" i="9"/>
  <c r="P681" i="9"/>
  <c r="Q681" i="9"/>
  <c r="R681" i="9"/>
  <c r="S681" i="9"/>
  <c r="T681" i="9"/>
  <c r="U681" i="9"/>
  <c r="V681" i="9"/>
  <c r="W681" i="9"/>
  <c r="X681" i="9"/>
  <c r="Y681" i="9"/>
  <c r="Z681" i="9"/>
  <c r="AA681" i="9"/>
  <c r="AB681" i="9"/>
  <c r="AC681" i="9"/>
  <c r="AD681" i="9"/>
  <c r="J888" i="7"/>
  <c r="J887" i="7" s="1"/>
  <c r="J886" i="7" s="1"/>
  <c r="J885" i="7" s="1"/>
  <c r="J884" i="7" s="1"/>
  <c r="J883" i="7" s="1"/>
  <c r="J882" i="7" s="1"/>
  <c r="H888" i="7"/>
  <c r="E684" i="9" s="1"/>
  <c r="E683" i="9" s="1"/>
  <c r="E682" i="9" s="1"/>
  <c r="E681" i="9" s="1"/>
  <c r="F888" i="7"/>
  <c r="F887" i="7" s="1"/>
  <c r="F886" i="7" s="1"/>
  <c r="F885" i="7" s="1"/>
  <c r="F884" i="7" s="1"/>
  <c r="F883" i="7" s="1"/>
  <c r="F882" i="7" s="1"/>
  <c r="AD482" i="2"/>
  <c r="AD481" i="2" s="1"/>
  <c r="AD480" i="2" s="1"/>
  <c r="AD479" i="2" s="1"/>
  <c r="AD478" i="2" s="1"/>
  <c r="AD477" i="2" s="1"/>
  <c r="H887" i="7" l="1"/>
  <c r="H886" i="7" s="1"/>
  <c r="H885" i="7" s="1"/>
  <c r="H884" i="7" s="1"/>
  <c r="H883" i="7" s="1"/>
  <c r="H882" i="7" s="1"/>
  <c r="D684" i="9"/>
  <c r="D683" i="9" s="1"/>
  <c r="D682" i="9" s="1"/>
  <c r="D681" i="9" s="1"/>
  <c r="F684" i="9"/>
  <c r="F683" i="9" s="1"/>
  <c r="F682" i="9" s="1"/>
  <c r="F681" i="9" s="1"/>
  <c r="AF50" i="2" l="1"/>
  <c r="AE50" i="2"/>
  <c r="J107" i="7"/>
  <c r="H107" i="7"/>
  <c r="F107" i="7"/>
  <c r="AF127" i="2" l="1"/>
  <c r="J204" i="7" s="1"/>
  <c r="J203" i="7" s="1"/>
  <c r="J202" i="7" s="1"/>
  <c r="J201" i="7" s="1"/>
  <c r="AE127" i="2"/>
  <c r="H204" i="7" s="1"/>
  <c r="H203" i="7" s="1"/>
  <c r="H202" i="7" s="1"/>
  <c r="H201" i="7" s="1"/>
  <c r="F204" i="7"/>
  <c r="F203" i="7" s="1"/>
  <c r="F202" i="7" s="1"/>
  <c r="F201" i="7" s="1"/>
  <c r="AE1123" i="2"/>
  <c r="AE1122" i="2" s="1"/>
  <c r="AE1121" i="2" s="1"/>
  <c r="AE1120" i="2" s="1"/>
  <c r="AE1119" i="2" s="1"/>
  <c r="AF1123" i="2"/>
  <c r="AF1122" i="2" s="1"/>
  <c r="AF1121" i="2" s="1"/>
  <c r="AF1120" i="2" s="1"/>
  <c r="AF1119" i="2" s="1"/>
  <c r="AD1123" i="2"/>
  <c r="AD1122" i="2" s="1"/>
  <c r="AD1121" i="2" s="1"/>
  <c r="AD1120" i="2" s="1"/>
  <c r="AD1119" i="2" s="1"/>
  <c r="J967" i="7"/>
  <c r="J966" i="7" s="1"/>
  <c r="H967" i="7"/>
  <c r="H966" i="7" s="1"/>
  <c r="F967" i="7"/>
  <c r="D259" i="9" s="1"/>
  <c r="D258" i="9" s="1"/>
  <c r="D257" i="9" s="1"/>
  <c r="D256" i="9" s="1"/>
  <c r="AE1114" i="2"/>
  <c r="AE1113" i="2" s="1"/>
  <c r="AE1112" i="2" s="1"/>
  <c r="AE1111" i="2" s="1"/>
  <c r="AE1110" i="2" s="1"/>
  <c r="AE1109" i="2" s="1"/>
  <c r="AE1108" i="2" s="1"/>
  <c r="AF1114" i="2"/>
  <c r="AF1113" i="2" s="1"/>
  <c r="AF1112" i="2" s="1"/>
  <c r="AF1111" i="2" s="1"/>
  <c r="AF1110" i="2" s="1"/>
  <c r="AF1109" i="2" s="1"/>
  <c r="AF1108" i="2" s="1"/>
  <c r="AD1114" i="2"/>
  <c r="AD1113" i="2" s="1"/>
  <c r="AD1112" i="2" s="1"/>
  <c r="AD1111" i="2" s="1"/>
  <c r="AD1110" i="2" s="1"/>
  <c r="AD1109" i="2" s="1"/>
  <c r="AD1108" i="2" s="1"/>
  <c r="J965" i="7" l="1"/>
  <c r="J964" i="7" s="1"/>
  <c r="H965" i="7"/>
  <c r="H964" i="7" s="1"/>
  <c r="AF126" i="2"/>
  <c r="AF125" i="2" s="1"/>
  <c r="AF124" i="2" s="1"/>
  <c r="AE126" i="2"/>
  <c r="AE125" i="2" s="1"/>
  <c r="AE124" i="2" s="1"/>
  <c r="AD126" i="2"/>
  <c r="AD125" i="2" s="1"/>
  <c r="AD124" i="2" s="1"/>
  <c r="F966" i="7"/>
  <c r="E259" i="9"/>
  <c r="E258" i="9" s="1"/>
  <c r="E257" i="9" s="1"/>
  <c r="E256" i="9" s="1"/>
  <c r="F259" i="9"/>
  <c r="F258" i="9" s="1"/>
  <c r="F257" i="9" s="1"/>
  <c r="F256" i="9" s="1"/>
  <c r="F965" i="7" l="1"/>
  <c r="F964" i="7" s="1"/>
  <c r="AF735" i="2"/>
  <c r="AE735" i="2" l="1"/>
  <c r="AF708" i="2"/>
  <c r="AE708" i="2"/>
  <c r="G481" i="7" l="1"/>
  <c r="J254" i="7"/>
  <c r="F333" i="9" s="1"/>
  <c r="F332" i="9" s="1"/>
  <c r="F331" i="9" s="1"/>
  <c r="F330" i="9" s="1"/>
  <c r="H254" i="7"/>
  <c r="E333" i="9" s="1"/>
  <c r="E332" i="9" s="1"/>
  <c r="E331" i="9" s="1"/>
  <c r="E330" i="9" s="1"/>
  <c r="F254" i="7"/>
  <c r="D333" i="9" s="1"/>
  <c r="D332" i="9" s="1"/>
  <c r="D331" i="9" s="1"/>
  <c r="D330" i="9" s="1"/>
  <c r="AE173" i="2"/>
  <c r="AE172" i="2" s="1"/>
  <c r="AE171" i="2" s="1"/>
  <c r="AF173" i="2"/>
  <c r="AF172" i="2" s="1"/>
  <c r="AF171" i="2" s="1"/>
  <c r="AD173" i="2"/>
  <c r="AD172" i="2" s="1"/>
  <c r="AD171" i="2" s="1"/>
  <c r="J285" i="7"/>
  <c r="H285" i="7"/>
  <c r="F285" i="7"/>
  <c r="F253" i="7" l="1"/>
  <c r="F252" i="7" s="1"/>
  <c r="F251" i="7" s="1"/>
  <c r="J253" i="7"/>
  <c r="J252" i="7" s="1"/>
  <c r="J251" i="7" s="1"/>
  <c r="H253" i="7"/>
  <c r="H252" i="7" s="1"/>
  <c r="H251" i="7" s="1"/>
  <c r="I910" i="7" l="1"/>
  <c r="I909" i="7" s="1"/>
  <c r="I908" i="7" s="1"/>
  <c r="I907" i="7" s="1"/>
  <c r="J911" i="7"/>
  <c r="F377" i="9" s="1"/>
  <c r="F376" i="9" s="1"/>
  <c r="F375" i="9" s="1"/>
  <c r="F374" i="9" s="1"/>
  <c r="F373" i="9" s="1"/>
  <c r="H911" i="7"/>
  <c r="E377" i="9" s="1"/>
  <c r="E376" i="9" s="1"/>
  <c r="E375" i="9" s="1"/>
  <c r="E374" i="9" s="1"/>
  <c r="E373" i="9" s="1"/>
  <c r="F911" i="7"/>
  <c r="D377" i="9" s="1"/>
  <c r="D376" i="9" s="1"/>
  <c r="D375" i="9" s="1"/>
  <c r="D374" i="9" s="1"/>
  <c r="D373" i="9" s="1"/>
  <c r="AE1096" i="2"/>
  <c r="AE1095" i="2" s="1"/>
  <c r="AE1094" i="2" s="1"/>
  <c r="AE1093" i="2" s="1"/>
  <c r="AE1092" i="2" s="1"/>
  <c r="AE1091" i="2" s="1"/>
  <c r="AF1096" i="2"/>
  <c r="AF1095" i="2" s="1"/>
  <c r="AF1094" i="2" s="1"/>
  <c r="AF1093" i="2" s="1"/>
  <c r="AF1092" i="2" s="1"/>
  <c r="AF1091" i="2" s="1"/>
  <c r="AD1096" i="2"/>
  <c r="AD1095" i="2" s="1"/>
  <c r="AD1094" i="2" s="1"/>
  <c r="AD1093" i="2" s="1"/>
  <c r="AD1092" i="2" s="1"/>
  <c r="AD1091" i="2" s="1"/>
  <c r="AF720" i="2"/>
  <c r="AE720" i="2"/>
  <c r="I905" i="7" l="1"/>
  <c r="I906" i="7"/>
  <c r="F910" i="7"/>
  <c r="F909" i="7" s="1"/>
  <c r="F908" i="7" s="1"/>
  <c r="F907" i="7" s="1"/>
  <c r="F906" i="7" s="1"/>
  <c r="H910" i="7"/>
  <c r="H909" i="7" s="1"/>
  <c r="H908" i="7" s="1"/>
  <c r="H907" i="7" s="1"/>
  <c r="H906" i="7" s="1"/>
  <c r="J910" i="7"/>
  <c r="J909" i="7" s="1"/>
  <c r="J908" i="7" s="1"/>
  <c r="J907" i="7" s="1"/>
  <c r="J906" i="7" s="1"/>
  <c r="AF744" i="2"/>
  <c r="AE744" i="2"/>
  <c r="AD744" i="2"/>
  <c r="AF799" i="2"/>
  <c r="AE799" i="2"/>
  <c r="F707" i="7" l="1"/>
  <c r="E436" i="9"/>
  <c r="E435" i="9" s="1"/>
  <c r="F436" i="9"/>
  <c r="F435" i="9" s="1"/>
  <c r="G435" i="9"/>
  <c r="H435" i="9"/>
  <c r="I435" i="9"/>
  <c r="J435" i="9"/>
  <c r="K435" i="9"/>
  <c r="L435" i="9"/>
  <c r="M435" i="9"/>
  <c r="N435" i="9"/>
  <c r="O435" i="9"/>
  <c r="P435" i="9"/>
  <c r="Q435" i="9"/>
  <c r="R435" i="9"/>
  <c r="S435" i="9"/>
  <c r="T435" i="9"/>
  <c r="U435" i="9"/>
  <c r="V435" i="9"/>
  <c r="W435" i="9"/>
  <c r="X435" i="9"/>
  <c r="Y435" i="9"/>
  <c r="Z435" i="9"/>
  <c r="AA435" i="9"/>
  <c r="AB435" i="9"/>
  <c r="AC435" i="9"/>
  <c r="AD435" i="9"/>
  <c r="J468" i="7"/>
  <c r="J467" i="7" s="1"/>
  <c r="H468" i="7"/>
  <c r="H467" i="7" s="1"/>
  <c r="AE982" i="2"/>
  <c r="AF982" i="2"/>
  <c r="F431" i="9" l="1"/>
  <c r="F430" i="9" s="1"/>
  <c r="E431" i="9"/>
  <c r="E430" i="9" s="1"/>
  <c r="AD982" i="2"/>
  <c r="G463" i="7"/>
  <c r="G462" i="7" s="1"/>
  <c r="J463" i="7"/>
  <c r="J462" i="7" s="1"/>
  <c r="H463" i="7"/>
  <c r="H462" i="7" s="1"/>
  <c r="D437" i="9"/>
  <c r="D436" i="9" s="1"/>
  <c r="D435" i="9" s="1"/>
  <c r="F468" i="7"/>
  <c r="F467" i="7" s="1"/>
  <c r="G168" i="9"/>
  <c r="H168" i="9"/>
  <c r="I168" i="9"/>
  <c r="J168" i="9"/>
  <c r="K168" i="9"/>
  <c r="L168" i="9"/>
  <c r="M168" i="9"/>
  <c r="N168" i="9"/>
  <c r="O168" i="9"/>
  <c r="P168" i="9"/>
  <c r="Q168" i="9"/>
  <c r="R168" i="9"/>
  <c r="S168" i="9"/>
  <c r="T168" i="9"/>
  <c r="U168" i="9"/>
  <c r="V168" i="9"/>
  <c r="W168" i="9"/>
  <c r="X168" i="9"/>
  <c r="Y168" i="9"/>
  <c r="Z168" i="9"/>
  <c r="AA168" i="9"/>
  <c r="AB168" i="9"/>
  <c r="AC168" i="9"/>
  <c r="AD168" i="9"/>
  <c r="J704" i="7"/>
  <c r="H704" i="7"/>
  <c r="F704" i="7"/>
  <c r="F703" i="7" s="1"/>
  <c r="F702" i="7" s="1"/>
  <c r="AE781" i="2"/>
  <c r="AE780" i="2" s="1"/>
  <c r="AF781" i="2"/>
  <c r="AF780" i="2" s="1"/>
  <c r="AD781" i="2"/>
  <c r="AD780" i="2" s="1"/>
  <c r="J937" i="7"/>
  <c r="D431" i="9" l="1"/>
  <c r="D430" i="9" s="1"/>
  <c r="F463" i="7"/>
  <c r="F462" i="7" s="1"/>
  <c r="J703" i="7"/>
  <c r="J702" i="7" s="1"/>
  <c r="K704" i="7"/>
  <c r="K703" i="7" s="1"/>
  <c r="K702" i="7" s="1"/>
  <c r="H703" i="7"/>
  <c r="H702" i="7" s="1"/>
  <c r="I704" i="7"/>
  <c r="I703" i="7" s="1"/>
  <c r="I702" i="7" s="1"/>
  <c r="F169" i="9"/>
  <c r="F168" i="9" s="1"/>
  <c r="F167" i="9" s="1"/>
  <c r="G704" i="7"/>
  <c r="G703" i="7" s="1"/>
  <c r="G702" i="7" s="1"/>
  <c r="D169" i="9"/>
  <c r="D168" i="9" s="1"/>
  <c r="D167" i="9" s="1"/>
  <c r="E169" i="9"/>
  <c r="E168" i="9" s="1"/>
  <c r="E167" i="9" s="1"/>
  <c r="J707" i="7" l="1"/>
  <c r="K707" i="7" s="1"/>
  <c r="K706" i="7" s="1"/>
  <c r="K705" i="7" s="1"/>
  <c r="K698" i="7" s="1"/>
  <c r="H707" i="7"/>
  <c r="I707" i="7" s="1"/>
  <c r="J672" i="7"/>
  <c r="K672" i="7" s="1"/>
  <c r="K671" i="7" s="1"/>
  <c r="K670" i="7" s="1"/>
  <c r="H672" i="7"/>
  <c r="I672" i="7" s="1"/>
  <c r="I671" i="7" s="1"/>
  <c r="I670" i="7" s="1"/>
  <c r="G132" i="9"/>
  <c r="H132" i="9"/>
  <c r="I132" i="9"/>
  <c r="J132" i="9"/>
  <c r="K132" i="9"/>
  <c r="L132" i="9"/>
  <c r="M132" i="9"/>
  <c r="N132" i="9"/>
  <c r="O132" i="9"/>
  <c r="P132" i="9"/>
  <c r="Q132" i="9"/>
  <c r="R132" i="9"/>
  <c r="S132" i="9"/>
  <c r="T132" i="9"/>
  <c r="U132" i="9"/>
  <c r="V132" i="9"/>
  <c r="W132" i="9"/>
  <c r="X132" i="9"/>
  <c r="Y132" i="9"/>
  <c r="Z132" i="9"/>
  <c r="AA132" i="9"/>
  <c r="AB132" i="9"/>
  <c r="AC132" i="9"/>
  <c r="AD132" i="9"/>
  <c r="AF719" i="2"/>
  <c r="AF718" i="2" s="1"/>
  <c r="H642" i="7"/>
  <c r="AD719" i="2"/>
  <c r="AD718" i="2" s="1"/>
  <c r="AE719" i="2"/>
  <c r="AE718" i="2" s="1"/>
  <c r="AE749" i="2"/>
  <c r="AE748" i="2" s="1"/>
  <c r="AF749" i="2"/>
  <c r="AF748" i="2" s="1"/>
  <c r="AD749" i="2"/>
  <c r="AD748" i="2" s="1"/>
  <c r="E134" i="9" l="1"/>
  <c r="E133" i="9" s="1"/>
  <c r="E132" i="9" s="1"/>
  <c r="F672" i="7"/>
  <c r="G672" i="7" s="1"/>
  <c r="G671" i="7" s="1"/>
  <c r="G670" i="7" s="1"/>
  <c r="F642" i="7"/>
  <c r="J642" i="7"/>
  <c r="H671" i="7"/>
  <c r="H670" i="7" s="1"/>
  <c r="J671" i="7"/>
  <c r="J670" i="7" s="1"/>
  <c r="H641" i="7"/>
  <c r="H640" i="7" s="1"/>
  <c r="I642" i="7"/>
  <c r="I641" i="7" s="1"/>
  <c r="I640" i="7" s="1"/>
  <c r="K642" i="7" l="1"/>
  <c r="K641" i="7" s="1"/>
  <c r="K640" i="7" s="1"/>
  <c r="F134" i="9"/>
  <c r="F641" i="7"/>
  <c r="F640" i="7" s="1"/>
  <c r="D134" i="9"/>
  <c r="D133" i="9" s="1"/>
  <c r="D132" i="9" s="1"/>
  <c r="G642" i="7"/>
  <c r="G641" i="7" s="1"/>
  <c r="G640" i="7" s="1"/>
  <c r="F133" i="9"/>
  <c r="F132" i="9" s="1"/>
  <c r="J641" i="7"/>
  <c r="J640" i="7" s="1"/>
  <c r="F671" i="7"/>
  <c r="F670" i="7" s="1"/>
  <c r="AE784" i="2"/>
  <c r="AE783" i="2" s="1"/>
  <c r="AE776" i="2" s="1"/>
  <c r="AF784" i="2"/>
  <c r="AF783" i="2" s="1"/>
  <c r="AF776" i="2" s="1"/>
  <c r="AD784" i="2"/>
  <c r="AD783" i="2" s="1"/>
  <c r="AD776" i="2" s="1"/>
  <c r="G707" i="7"/>
  <c r="G163" i="9"/>
  <c r="G95" i="9" s="1"/>
  <c r="H163" i="9"/>
  <c r="H95" i="9" s="1"/>
  <c r="I163" i="9"/>
  <c r="I95" i="9" s="1"/>
  <c r="J163" i="9"/>
  <c r="J95" i="9" s="1"/>
  <c r="K163" i="9"/>
  <c r="K95" i="9" s="1"/>
  <c r="L163" i="9"/>
  <c r="L95" i="9" s="1"/>
  <c r="M163" i="9"/>
  <c r="M95" i="9" s="1"/>
  <c r="N163" i="9"/>
  <c r="N95" i="9" s="1"/>
  <c r="O163" i="9"/>
  <c r="O95" i="9" s="1"/>
  <c r="P163" i="9"/>
  <c r="P95" i="9" s="1"/>
  <c r="Q163" i="9"/>
  <c r="Q95" i="9" s="1"/>
  <c r="R163" i="9"/>
  <c r="R95" i="9" s="1"/>
  <c r="S163" i="9"/>
  <c r="S95" i="9" s="1"/>
  <c r="T163" i="9"/>
  <c r="T95" i="9" s="1"/>
  <c r="U163" i="9"/>
  <c r="U95" i="9" s="1"/>
  <c r="V163" i="9"/>
  <c r="V95" i="9" s="1"/>
  <c r="W163" i="9"/>
  <c r="W95" i="9" s="1"/>
  <c r="X163" i="9"/>
  <c r="X95" i="9" s="1"/>
  <c r="Y163" i="9"/>
  <c r="Y95" i="9" s="1"/>
  <c r="Z163" i="9"/>
  <c r="Z95" i="9" s="1"/>
  <c r="AA163" i="9"/>
  <c r="AA95" i="9" s="1"/>
  <c r="AB163" i="9"/>
  <c r="AB95" i="9" s="1"/>
  <c r="AC163" i="9"/>
  <c r="AC95" i="9" s="1"/>
  <c r="AD163" i="9"/>
  <c r="AD95" i="9" s="1"/>
  <c r="F172" i="9"/>
  <c r="F171" i="9" s="1"/>
  <c r="F170" i="9" s="1"/>
  <c r="F163" i="9" s="1"/>
  <c r="E172" i="9"/>
  <c r="E171" i="9" s="1"/>
  <c r="E170" i="9" s="1"/>
  <c r="E163" i="9" s="1"/>
  <c r="D172" i="9"/>
  <c r="D171" i="9" s="1"/>
  <c r="D170" i="9" s="1"/>
  <c r="D163" i="9" s="1"/>
  <c r="E131" i="9"/>
  <c r="E130" i="9" s="1"/>
  <c r="E129" i="9" s="1"/>
  <c r="G706" i="7" l="1"/>
  <c r="G705" i="7" s="1"/>
  <c r="G698" i="7" s="1"/>
  <c r="H706" i="7"/>
  <c r="H705" i="7" s="1"/>
  <c r="H698" i="7" s="1"/>
  <c r="I706" i="7"/>
  <c r="I705" i="7" s="1"/>
  <c r="I698" i="7" s="1"/>
  <c r="J706" i="7"/>
  <c r="J705" i="7" s="1"/>
  <c r="J698" i="7" s="1"/>
  <c r="F706" i="7"/>
  <c r="F705" i="7" s="1"/>
  <c r="F698" i="7" s="1"/>
  <c r="J669" i="7"/>
  <c r="H669" i="7"/>
  <c r="H668" i="7" s="1"/>
  <c r="H667" i="7" s="1"/>
  <c r="AE746" i="2"/>
  <c r="AE745" i="2" s="1"/>
  <c r="AF746" i="2"/>
  <c r="AF745" i="2" s="1"/>
  <c r="F669" i="7"/>
  <c r="AD746" i="2" l="1"/>
  <c r="AD745" i="2" s="1"/>
  <c r="F668" i="7"/>
  <c r="F667" i="7" s="1"/>
  <c r="D131" i="9"/>
  <c r="D130" i="9" s="1"/>
  <c r="D129" i="9" s="1"/>
  <c r="J668" i="7"/>
  <c r="J667" i="7" s="1"/>
  <c r="F131" i="9"/>
  <c r="F130" i="9" s="1"/>
  <c r="F129" i="9" s="1"/>
  <c r="G669" i="7"/>
  <c r="G668" i="7" s="1"/>
  <c r="G667" i="7" s="1"/>
  <c r="H541" i="7"/>
  <c r="K540" i="7"/>
  <c r="K539" i="7" s="1"/>
  <c r="I540" i="7"/>
  <c r="I539" i="7" s="1"/>
  <c r="I532" i="7" s="1"/>
  <c r="F541" i="7"/>
  <c r="AF1018" i="2"/>
  <c r="AF1017" i="2" s="1"/>
  <c r="AF1016" i="2" s="1"/>
  <c r="AD1017" i="2"/>
  <c r="AD1016" i="2" s="1"/>
  <c r="AF954" i="2"/>
  <c r="AF953" i="2" s="1"/>
  <c r="AF952" i="2" s="1"/>
  <c r="K532" i="7" l="1"/>
  <c r="K516" i="7" s="1"/>
  <c r="K515" i="7" s="1"/>
  <c r="K482" i="7" s="1"/>
  <c r="J541" i="7"/>
  <c r="H540" i="7"/>
  <c r="H539" i="7" s="1"/>
  <c r="E678" i="9"/>
  <c r="E677" i="9" s="1"/>
  <c r="E676" i="9" s="1"/>
  <c r="F540" i="7"/>
  <c r="F539" i="7" s="1"/>
  <c r="D678" i="9"/>
  <c r="D677" i="9" s="1"/>
  <c r="D676" i="9" s="1"/>
  <c r="AE1017" i="2"/>
  <c r="AE1016" i="2" s="1"/>
  <c r="F433" i="7"/>
  <c r="F432" i="7" s="1"/>
  <c r="AD954" i="2"/>
  <c r="AD953" i="2" s="1"/>
  <c r="AD952" i="2" s="1"/>
  <c r="AD1082" i="2"/>
  <c r="AF856" i="2"/>
  <c r="J818" i="7" s="1"/>
  <c r="AE856" i="2"/>
  <c r="H818" i="7" s="1"/>
  <c r="AF413" i="2"/>
  <c r="AE413" i="2"/>
  <c r="AF859" i="2"/>
  <c r="J821" i="7" s="1"/>
  <c r="AE859" i="2"/>
  <c r="H821" i="7" s="1"/>
  <c r="J540" i="7" l="1"/>
  <c r="J539" i="7" s="1"/>
  <c r="F678" i="9"/>
  <c r="F677" i="9" s="1"/>
  <c r="F676" i="9" s="1"/>
  <c r="AE954" i="2"/>
  <c r="AE953" i="2" s="1"/>
  <c r="AE952" i="2" s="1"/>
  <c r="G25" i="9" l="1"/>
  <c r="H25" i="9"/>
  <c r="I25" i="9"/>
  <c r="J25" i="9"/>
  <c r="K25" i="9"/>
  <c r="L25" i="9"/>
  <c r="M25" i="9"/>
  <c r="N25" i="9"/>
  <c r="O25" i="9"/>
  <c r="P25" i="9"/>
  <c r="Q25" i="9"/>
  <c r="R25" i="9"/>
  <c r="S25" i="9"/>
  <c r="T25" i="9"/>
  <c r="U25" i="9"/>
  <c r="V25" i="9"/>
  <c r="W25" i="9"/>
  <c r="X25" i="9"/>
  <c r="Y25" i="9"/>
  <c r="Z25" i="9"/>
  <c r="AA25" i="9"/>
  <c r="AB25" i="9"/>
  <c r="AC25" i="9"/>
  <c r="AD25" i="9"/>
  <c r="G721" i="9"/>
  <c r="H721" i="9"/>
  <c r="I721" i="9"/>
  <c r="J721" i="9"/>
  <c r="K721" i="9"/>
  <c r="L721" i="9"/>
  <c r="M721" i="9"/>
  <c r="N721" i="9"/>
  <c r="O721" i="9"/>
  <c r="P721" i="9"/>
  <c r="Q721" i="9"/>
  <c r="R721" i="9"/>
  <c r="S721" i="9"/>
  <c r="T721" i="9"/>
  <c r="U721" i="9"/>
  <c r="V721" i="9"/>
  <c r="W721" i="9"/>
  <c r="X721" i="9"/>
  <c r="Y721" i="9"/>
  <c r="Z721" i="9"/>
  <c r="AA721" i="9"/>
  <c r="AB721" i="9"/>
  <c r="AC721" i="9"/>
  <c r="AD721" i="9"/>
  <c r="G480" i="7"/>
  <c r="G479" i="7" s="1"/>
  <c r="G478" i="7" s="1"/>
  <c r="G477" i="7" s="1"/>
  <c r="G476" i="7" s="1"/>
  <c r="J481" i="7"/>
  <c r="F722" i="9" s="1"/>
  <c r="AF991" i="2"/>
  <c r="AF990" i="2" s="1"/>
  <c r="AF989" i="2" s="1"/>
  <c r="AF988" i="2" s="1"/>
  <c r="AF987" i="2" s="1"/>
  <c r="H481" i="7"/>
  <c r="AD991" i="2"/>
  <c r="AD990" i="2" s="1"/>
  <c r="AD989" i="2" s="1"/>
  <c r="AD988" i="2" s="1"/>
  <c r="AD987" i="2" s="1"/>
  <c r="I516" i="7" l="1"/>
  <c r="I515" i="7" s="1"/>
  <c r="I482" i="7" s="1"/>
  <c r="E722" i="9"/>
  <c r="E721" i="9" s="1"/>
  <c r="E720" i="9" s="1"/>
  <c r="J480" i="7"/>
  <c r="J479" i="7" s="1"/>
  <c r="J478" i="7" s="1"/>
  <c r="J477" i="7" s="1"/>
  <c r="J476" i="7" s="1"/>
  <c r="F721" i="9"/>
  <c r="F720" i="9" s="1"/>
  <c r="AE991" i="2"/>
  <c r="AE990" i="2" s="1"/>
  <c r="AE989" i="2" s="1"/>
  <c r="AE988" i="2" s="1"/>
  <c r="AE987" i="2" s="1"/>
  <c r="F481" i="7"/>
  <c r="H480" i="7"/>
  <c r="H479" i="7" s="1"/>
  <c r="H478" i="7" s="1"/>
  <c r="H477" i="7" s="1"/>
  <c r="H476" i="7" s="1"/>
  <c r="D722" i="9" l="1"/>
  <c r="D721" i="9" s="1"/>
  <c r="D720" i="9" s="1"/>
  <c r="F480" i="7"/>
  <c r="F479" i="7" s="1"/>
  <c r="F478" i="7" s="1"/>
  <c r="F477" i="7" s="1"/>
  <c r="F476" i="7" s="1"/>
  <c r="J581" i="7" l="1"/>
  <c r="J580" i="7" s="1"/>
  <c r="J579" i="7" s="1"/>
  <c r="J578" i="7" s="1"/>
  <c r="J577" i="7" s="1"/>
  <c r="J576" i="7" s="1"/>
  <c r="H581" i="7"/>
  <c r="H580" i="7" s="1"/>
  <c r="H579" i="7" s="1"/>
  <c r="H578" i="7" s="1"/>
  <c r="H577" i="7" s="1"/>
  <c r="H576" i="7" s="1"/>
  <c r="F581" i="7"/>
  <c r="F580" i="7" s="1"/>
  <c r="F579" i="7" s="1"/>
  <c r="F578" i="7" s="1"/>
  <c r="F577" i="7" s="1"/>
  <c r="F576" i="7" s="1"/>
  <c r="AD1048" i="2"/>
  <c r="AD1047" i="2" s="1"/>
  <c r="AD1046" i="2" s="1"/>
  <c r="AD1045" i="2" s="1"/>
  <c r="AD1044" i="2" s="1"/>
  <c r="AF1048" i="2"/>
  <c r="AF1047" i="2" s="1"/>
  <c r="AF1046" i="2" s="1"/>
  <c r="AF1045" i="2" s="1"/>
  <c r="AF1044" i="2" s="1"/>
  <c r="AE1048" i="2"/>
  <c r="AE1047" i="2" s="1"/>
  <c r="AE1046" i="2" s="1"/>
  <c r="AE1045" i="2" s="1"/>
  <c r="AE1044" i="2" s="1"/>
  <c r="G453" i="7" l="1"/>
  <c r="G452" i="7" s="1"/>
  <c r="G448" i="7" s="1"/>
  <c r="J454" i="7"/>
  <c r="F422" i="9" s="1"/>
  <c r="F421" i="9" s="1"/>
  <c r="F420" i="9" s="1"/>
  <c r="F416" i="9" s="1"/>
  <c r="H454" i="7"/>
  <c r="H453" i="7" s="1"/>
  <c r="H452" i="7" s="1"/>
  <c r="H448" i="7" s="1"/>
  <c r="F454" i="7"/>
  <c r="F453" i="7" l="1"/>
  <c r="F452" i="7" s="1"/>
  <c r="F448" i="7" s="1"/>
  <c r="J453" i="7"/>
  <c r="J452" i="7" s="1"/>
  <c r="J448" i="7" s="1"/>
  <c r="E422" i="9"/>
  <c r="E421" i="9" s="1"/>
  <c r="E420" i="9" s="1"/>
  <c r="E416" i="9" s="1"/>
  <c r="D422" i="9"/>
  <c r="D421" i="9" s="1"/>
  <c r="D420" i="9" s="1"/>
  <c r="D416" i="9" s="1"/>
  <c r="AE973" i="2"/>
  <c r="AE972" i="2" s="1"/>
  <c r="AE968" i="2" s="1"/>
  <c r="AF973" i="2"/>
  <c r="AF972" i="2" s="1"/>
  <c r="AF968" i="2" s="1"/>
  <c r="AD973" i="2"/>
  <c r="AD972" i="2" s="1"/>
  <c r="AD968" i="2" s="1"/>
  <c r="G443" i="7"/>
  <c r="G442" i="7" s="1"/>
  <c r="I443" i="7"/>
  <c r="I442" i="7" s="1"/>
  <c r="J444" i="7"/>
  <c r="F412" i="9" s="1"/>
  <c r="F411" i="9" s="1"/>
  <c r="F410" i="9" s="1"/>
  <c r="H444" i="7"/>
  <c r="F444" i="7"/>
  <c r="AE963" i="2"/>
  <c r="AE962" i="2" s="1"/>
  <c r="AF963" i="2"/>
  <c r="AF962" i="2" s="1"/>
  <c r="AD963" i="2"/>
  <c r="AD962" i="2" s="1"/>
  <c r="I424" i="7" l="1"/>
  <c r="I423" i="7" s="1"/>
  <c r="I417" i="7" s="1"/>
  <c r="I416" i="7" s="1"/>
  <c r="D412" i="9"/>
  <c r="D411" i="9" s="1"/>
  <c r="D410" i="9" s="1"/>
  <c r="H443" i="7"/>
  <c r="H442" i="7" s="1"/>
  <c r="F443" i="7"/>
  <c r="F442" i="7" s="1"/>
  <c r="J443" i="7"/>
  <c r="J442" i="7" s="1"/>
  <c r="E412" i="9"/>
  <c r="E411" i="9" s="1"/>
  <c r="E410" i="9" s="1"/>
  <c r="J106" i="7"/>
  <c r="J105" i="7" s="1"/>
  <c r="J104" i="7" s="1"/>
  <c r="H106" i="7"/>
  <c r="H105" i="7" s="1"/>
  <c r="H104" i="7" s="1"/>
  <c r="F106" i="7"/>
  <c r="F105" i="7" s="1"/>
  <c r="F104" i="7" s="1"/>
  <c r="AD612" i="2"/>
  <c r="AD611" i="2" s="1"/>
  <c r="AD610" i="2" s="1"/>
  <c r="AF612" i="2"/>
  <c r="AF611" i="2" s="1"/>
  <c r="AF610" i="2" s="1"/>
  <c r="AE612" i="2"/>
  <c r="AE611" i="2" s="1"/>
  <c r="AE610" i="2" s="1"/>
  <c r="J881" i="7" l="1"/>
  <c r="F77" i="9" s="1"/>
  <c r="F76" i="9" s="1"/>
  <c r="F75" i="9" s="1"/>
  <c r="F71" i="9" s="1"/>
  <c r="H881" i="7"/>
  <c r="F881" i="7"/>
  <c r="AE475" i="2"/>
  <c r="AE474" i="2" s="1"/>
  <c r="AE470" i="2" s="1"/>
  <c r="AF475" i="2"/>
  <c r="AF474" i="2" s="1"/>
  <c r="AF470" i="2" s="1"/>
  <c r="AD475" i="2"/>
  <c r="AD474" i="2" s="1"/>
  <c r="AD470" i="2" s="1"/>
  <c r="D77" i="9" l="1"/>
  <c r="D76" i="9" s="1"/>
  <c r="D75" i="9" s="1"/>
  <c r="D71" i="9" s="1"/>
  <c r="G881" i="7"/>
  <c r="G880" i="7" s="1"/>
  <c r="G879" i="7" s="1"/>
  <c r="H880" i="7"/>
  <c r="H879" i="7" s="1"/>
  <c r="H875" i="7" s="1"/>
  <c r="I881" i="7"/>
  <c r="I880" i="7" s="1"/>
  <c r="I879" i="7" s="1"/>
  <c r="F880" i="7"/>
  <c r="F879" i="7" s="1"/>
  <c r="F875" i="7" s="1"/>
  <c r="J880" i="7"/>
  <c r="J879" i="7" s="1"/>
  <c r="J875" i="7" s="1"/>
  <c r="E77" i="9"/>
  <c r="E76" i="9" s="1"/>
  <c r="E75" i="9" s="1"/>
  <c r="E71" i="9" s="1"/>
  <c r="I875" i="7" l="1"/>
  <c r="I854" i="7" s="1"/>
  <c r="G875" i="7"/>
  <c r="G854" i="7" s="1"/>
  <c r="J653" i="7"/>
  <c r="H653" i="7"/>
  <c r="AE730" i="2"/>
  <c r="AE729" i="2" s="1"/>
  <c r="AF730" i="2"/>
  <c r="AF729" i="2" s="1"/>
  <c r="AD730" i="2"/>
  <c r="AD729" i="2" s="1"/>
  <c r="E99" i="9" l="1"/>
  <c r="E98" i="9" s="1"/>
  <c r="E97" i="9" s="1"/>
  <c r="F99" i="9"/>
  <c r="F98" i="9" s="1"/>
  <c r="F97" i="9" s="1"/>
  <c r="J652" i="7"/>
  <c r="J651" i="7" s="1"/>
  <c r="F653" i="7"/>
  <c r="H652" i="7"/>
  <c r="H651" i="7" s="1"/>
  <c r="D99" i="9" l="1"/>
  <c r="D98" i="9" s="1"/>
  <c r="D97" i="9" s="1"/>
  <c r="F652" i="7"/>
  <c r="F651" i="7" s="1"/>
  <c r="AF756" i="2" l="1"/>
  <c r="AF755" i="2" s="1"/>
  <c r="AE756" i="2"/>
  <c r="AE755" i="2" s="1"/>
  <c r="AD756" i="2"/>
  <c r="AD755" i="2" s="1"/>
  <c r="H679" i="7" l="1"/>
  <c r="F679" i="7"/>
  <c r="J679" i="7"/>
  <c r="F141" i="9" s="1"/>
  <c r="F140" i="9" s="1"/>
  <c r="F139" i="9" s="1"/>
  <c r="D141" i="9" l="1"/>
  <c r="D140" i="9" s="1"/>
  <c r="D139" i="9" s="1"/>
  <c r="E141" i="9"/>
  <c r="E140" i="9" s="1"/>
  <c r="E139" i="9" s="1"/>
  <c r="J415" i="7" l="1"/>
  <c r="F750" i="9" s="1"/>
  <c r="F749" i="9" s="1"/>
  <c r="F748" i="9" s="1"/>
  <c r="F747" i="9" s="1"/>
  <c r="F746" i="9" s="1"/>
  <c r="F745" i="9" s="1"/>
  <c r="H415" i="7"/>
  <c r="H414" i="7" s="1"/>
  <c r="H413" i="7" s="1"/>
  <c r="H412" i="7" s="1"/>
  <c r="H411" i="7" s="1"/>
  <c r="H410" i="7" s="1"/>
  <c r="F415" i="7"/>
  <c r="F414" i="7" s="1"/>
  <c r="F413" i="7" s="1"/>
  <c r="F412" i="7" s="1"/>
  <c r="F411" i="7" s="1"/>
  <c r="F410" i="7" s="1"/>
  <c r="AE934" i="2"/>
  <c r="AE933" i="2" s="1"/>
  <c r="AE932" i="2" s="1"/>
  <c r="AE931" i="2" s="1"/>
  <c r="AE930" i="2" s="1"/>
  <c r="AF934" i="2"/>
  <c r="AF933" i="2" s="1"/>
  <c r="AF932" i="2" s="1"/>
  <c r="AF931" i="2" s="1"/>
  <c r="AF930" i="2" s="1"/>
  <c r="AD934" i="2"/>
  <c r="AD933" i="2" s="1"/>
  <c r="AD932" i="2" s="1"/>
  <c r="AD931" i="2" s="1"/>
  <c r="AD930" i="2" s="1"/>
  <c r="D750" i="9" l="1"/>
  <c r="D749" i="9" s="1"/>
  <c r="D748" i="9" s="1"/>
  <c r="D747" i="9" s="1"/>
  <c r="D746" i="9" s="1"/>
  <c r="D745" i="9" s="1"/>
  <c r="E750" i="9"/>
  <c r="E749" i="9" s="1"/>
  <c r="E748" i="9" s="1"/>
  <c r="E747" i="9" s="1"/>
  <c r="E746" i="9" s="1"/>
  <c r="E745" i="9" s="1"/>
  <c r="J414" i="7"/>
  <c r="J413" i="7" s="1"/>
  <c r="J412" i="7" s="1"/>
  <c r="J411" i="7" s="1"/>
  <c r="J410" i="7" s="1"/>
  <c r="J558" i="7" l="1"/>
  <c r="H558" i="7"/>
  <c r="F558" i="7"/>
  <c r="F557" i="7" s="1"/>
  <c r="F556" i="7" s="1"/>
  <c r="AE1031" i="2"/>
  <c r="AE1030" i="2" s="1"/>
  <c r="AF1031" i="2"/>
  <c r="AF1030" i="2" s="1"/>
  <c r="AD1031" i="2"/>
  <c r="AD1030" i="2" s="1"/>
  <c r="H557" i="7" l="1"/>
  <c r="H556" i="7" s="1"/>
  <c r="E699" i="9"/>
  <c r="E698" i="9" s="1"/>
  <c r="E697" i="9" s="1"/>
  <c r="J557" i="7"/>
  <c r="J556" i="7" s="1"/>
  <c r="F699" i="9"/>
  <c r="F698" i="9" s="1"/>
  <c r="F697" i="9" s="1"/>
  <c r="D699" i="9"/>
  <c r="D698" i="9" s="1"/>
  <c r="D697" i="9" s="1"/>
  <c r="AF87" i="2" l="1"/>
  <c r="AF86" i="2" s="1"/>
  <c r="AE87" i="2"/>
  <c r="AE86" i="2" s="1"/>
  <c r="AD87" i="2"/>
  <c r="AD86" i="2" s="1"/>
  <c r="F148" i="7"/>
  <c r="AD85" i="2" l="1"/>
  <c r="AF85" i="2"/>
  <c r="AE85" i="2"/>
  <c r="J561" i="7"/>
  <c r="J560" i="7" s="1"/>
  <c r="J559" i="7" s="1"/>
  <c r="H561" i="7"/>
  <c r="E702" i="9" s="1"/>
  <c r="E701" i="9" s="1"/>
  <c r="E700" i="9" s="1"/>
  <c r="F561" i="7"/>
  <c r="D702" i="9" s="1"/>
  <c r="D701" i="9" s="1"/>
  <c r="D700" i="9" s="1"/>
  <c r="AE1034" i="2"/>
  <c r="AE1033" i="2" s="1"/>
  <c r="AF1034" i="2"/>
  <c r="AF1033" i="2" s="1"/>
  <c r="AD1034" i="2"/>
  <c r="AD1033" i="2" s="1"/>
  <c r="F560" i="7" l="1"/>
  <c r="F559" i="7" s="1"/>
  <c r="F702" i="9"/>
  <c r="F701" i="9" s="1"/>
  <c r="F700" i="9" s="1"/>
  <c r="H560" i="7"/>
  <c r="H559" i="7" s="1"/>
  <c r="J292" i="7" l="1"/>
  <c r="F358" i="9" s="1"/>
  <c r="F357" i="9" s="1"/>
  <c r="H292" i="7"/>
  <c r="H291" i="7" s="1"/>
  <c r="F292" i="7"/>
  <c r="D358" i="9" s="1"/>
  <c r="D357" i="9" s="1"/>
  <c r="AF211" i="2"/>
  <c r="AE211" i="2"/>
  <c r="AD211" i="2"/>
  <c r="F291" i="7" l="1"/>
  <c r="E358" i="9"/>
  <c r="E357" i="9" s="1"/>
  <c r="J291" i="7"/>
  <c r="J666" i="7" l="1"/>
  <c r="J665" i="7" s="1"/>
  <c r="J664" i="7" s="1"/>
  <c r="H666" i="7"/>
  <c r="F666" i="7"/>
  <c r="J639" i="7"/>
  <c r="J638" i="7" s="1"/>
  <c r="J637" i="7" s="1"/>
  <c r="H639" i="7"/>
  <c r="I639" i="7" s="1"/>
  <c r="I638" i="7" s="1"/>
  <c r="I637" i="7" s="1"/>
  <c r="F639" i="7"/>
  <c r="F638" i="7" s="1"/>
  <c r="F637" i="7" s="1"/>
  <c r="AF743" i="2"/>
  <c r="AF742" i="2" s="1"/>
  <c r="AE743" i="2"/>
  <c r="AE742" i="2" s="1"/>
  <c r="AD743" i="2"/>
  <c r="AD742" i="2" s="1"/>
  <c r="AF716" i="2"/>
  <c r="AF715" i="2" s="1"/>
  <c r="AD716" i="2"/>
  <c r="AD715" i="2" s="1"/>
  <c r="AE716" i="2"/>
  <c r="AE715" i="2" s="1"/>
  <c r="J693" i="7"/>
  <c r="F158" i="9" s="1"/>
  <c r="F157" i="9" s="1"/>
  <c r="F156" i="9" s="1"/>
  <c r="H693" i="7"/>
  <c r="E158" i="9" s="1"/>
  <c r="E157" i="9" s="1"/>
  <c r="E156" i="9" s="1"/>
  <c r="F693" i="7"/>
  <c r="F692" i="7" s="1"/>
  <c r="F691" i="7" s="1"/>
  <c r="AE770" i="2"/>
  <c r="AE769" i="2" s="1"/>
  <c r="AF770" i="2"/>
  <c r="AF769" i="2" s="1"/>
  <c r="AD770" i="2"/>
  <c r="AD769" i="2" s="1"/>
  <c r="G639" i="7" l="1"/>
  <c r="G638" i="7" s="1"/>
  <c r="G637" i="7" s="1"/>
  <c r="D128" i="9"/>
  <c r="D127" i="9" s="1"/>
  <c r="D126" i="9" s="1"/>
  <c r="E128" i="9"/>
  <c r="E127" i="9" s="1"/>
  <c r="E126" i="9" s="1"/>
  <c r="K639" i="7"/>
  <c r="K638" i="7" s="1"/>
  <c r="K637" i="7" s="1"/>
  <c r="F128" i="9"/>
  <c r="F127" i="9" s="1"/>
  <c r="F126" i="9" s="1"/>
  <c r="G666" i="7"/>
  <c r="G665" i="7" s="1"/>
  <c r="G664" i="7" s="1"/>
  <c r="K666" i="7"/>
  <c r="K665" i="7" s="1"/>
  <c r="K664" i="7" s="1"/>
  <c r="F665" i="7"/>
  <c r="F664" i="7" s="1"/>
  <c r="G693" i="7"/>
  <c r="G692" i="7" s="1"/>
  <c r="G691" i="7" s="1"/>
  <c r="G687" i="7" s="1"/>
  <c r="I666" i="7"/>
  <c r="I665" i="7" s="1"/>
  <c r="I664" i="7" s="1"/>
  <c r="H665" i="7"/>
  <c r="H664" i="7" s="1"/>
  <c r="H638" i="7"/>
  <c r="H637" i="7" s="1"/>
  <c r="D158" i="9"/>
  <c r="D157" i="9" s="1"/>
  <c r="D156" i="9" s="1"/>
  <c r="H692" i="7"/>
  <c r="H691" i="7" s="1"/>
  <c r="I693" i="7"/>
  <c r="I692" i="7" s="1"/>
  <c r="I691" i="7" s="1"/>
  <c r="I687" i="7" s="1"/>
  <c r="K693" i="7"/>
  <c r="K692" i="7" s="1"/>
  <c r="K691" i="7" s="1"/>
  <c r="K687" i="7" s="1"/>
  <c r="J692" i="7"/>
  <c r="J691" i="7" s="1"/>
  <c r="J126" i="7" l="1"/>
  <c r="F785" i="9" s="1"/>
  <c r="F126" i="7"/>
  <c r="D785" i="9" s="1"/>
  <c r="H126" i="7"/>
  <c r="E785" i="9" s="1"/>
  <c r="H513" i="7" l="1"/>
  <c r="H512" i="7" s="1"/>
  <c r="H511" i="7" s="1"/>
  <c r="H510" i="7" s="1"/>
  <c r="H509" i="7" s="1"/>
  <c r="F651" i="9"/>
  <c r="F513" i="7"/>
  <c r="F512" i="7" s="1"/>
  <c r="F511" i="7" s="1"/>
  <c r="F510" i="7" s="1"/>
  <c r="F509" i="7" s="1"/>
  <c r="AF335" i="2"/>
  <c r="AF334" i="2" s="1"/>
  <c r="AF333" i="2" s="1"/>
  <c r="AF332" i="2" s="1"/>
  <c r="AF331" i="2" s="1"/>
  <c r="AD335" i="2"/>
  <c r="AD334" i="2" s="1"/>
  <c r="AD333" i="2" s="1"/>
  <c r="AD332" i="2" s="1"/>
  <c r="AD331" i="2" s="1"/>
  <c r="J513" i="7" l="1"/>
  <c r="J512" i="7" s="1"/>
  <c r="J511" i="7" s="1"/>
  <c r="J510" i="7" s="1"/>
  <c r="J509" i="7" s="1"/>
  <c r="E651" i="9"/>
  <c r="E650" i="9" s="1"/>
  <c r="E649" i="9" s="1"/>
  <c r="D650" i="9"/>
  <c r="D649" i="9" s="1"/>
  <c r="F650" i="9"/>
  <c r="F649" i="9" s="1"/>
  <c r="E648" i="9" l="1"/>
  <c r="E647" i="9" s="1"/>
  <c r="D648" i="9"/>
  <c r="D647" i="9" s="1"/>
  <c r="F648" i="9"/>
  <c r="F647" i="9" s="1"/>
  <c r="J778" i="7" l="1"/>
  <c r="H778" i="7"/>
  <c r="J76" i="7" l="1"/>
  <c r="F555" i="9" s="1"/>
  <c r="K817" i="7"/>
  <c r="K820" i="7"/>
  <c r="K819" i="7" s="1"/>
  <c r="AF858" i="2"/>
  <c r="J949" i="7" l="1"/>
  <c r="F243" i="9" s="1"/>
  <c r="F242" i="9" s="1"/>
  <c r="F241" i="9" s="1"/>
  <c r="J915" i="7" l="1"/>
  <c r="H915" i="7"/>
  <c r="F915" i="7"/>
  <c r="D794" i="9" s="1"/>
  <c r="D793" i="9" s="1"/>
  <c r="D792" i="9" s="1"/>
  <c r="AE503" i="2"/>
  <c r="AE502" i="2" s="1"/>
  <c r="AE501" i="2" s="1"/>
  <c r="AE500" i="2" s="1"/>
  <c r="AF503" i="2"/>
  <c r="AF502" i="2" s="1"/>
  <c r="AF501" i="2" s="1"/>
  <c r="AF500" i="2" s="1"/>
  <c r="AD503" i="2"/>
  <c r="AD502" i="2" s="1"/>
  <c r="AD501" i="2" s="1"/>
  <c r="AD500" i="2" s="1"/>
  <c r="H914" i="7" l="1"/>
  <c r="H913" i="7" s="1"/>
  <c r="H912" i="7" s="1"/>
  <c r="E794" i="9"/>
  <c r="J914" i="7"/>
  <c r="J913" i="7" s="1"/>
  <c r="J912" i="7" s="1"/>
  <c r="F794" i="9"/>
  <c r="F914" i="7"/>
  <c r="F913" i="7" s="1"/>
  <c r="F912" i="7" s="1"/>
  <c r="AF528" i="2"/>
  <c r="AF527" i="2" s="1"/>
  <c r="AE528" i="2"/>
  <c r="AE527" i="2" s="1"/>
  <c r="AD528" i="2"/>
  <c r="AD527" i="2" s="1"/>
  <c r="J905" i="7" l="1"/>
  <c r="F57" i="10" s="1"/>
  <c r="F905" i="7"/>
  <c r="D57" i="10" s="1"/>
  <c r="H905" i="7"/>
  <c r="E57" i="10" s="1"/>
  <c r="AF204" i="2" l="1"/>
  <c r="AF201" i="2" s="1"/>
  <c r="AE204" i="2"/>
  <c r="AE201" i="2" s="1"/>
  <c r="AD204" i="2"/>
  <c r="AD201" i="2" s="1"/>
  <c r="AF195" i="2" l="1"/>
  <c r="AF194" i="2" s="1"/>
  <c r="AE195" i="2"/>
  <c r="AE194" i="2" s="1"/>
  <c r="AD195" i="2"/>
  <c r="AD194" i="2" s="1"/>
  <c r="J62" i="7" l="1"/>
  <c r="F489" i="9" s="1"/>
  <c r="F488" i="9" s="1"/>
  <c r="H62" i="7"/>
  <c r="H61" i="7" s="1"/>
  <c r="F62" i="7"/>
  <c r="D489" i="9" s="1"/>
  <c r="D488" i="9" s="1"/>
  <c r="AD35" i="2"/>
  <c r="F61" i="7" l="1"/>
  <c r="J61" i="7"/>
  <c r="E489" i="9"/>
  <c r="E488" i="9" s="1"/>
  <c r="AF412" i="2"/>
  <c r="AF411" i="2" s="1"/>
  <c r="J409" i="7" l="1"/>
  <c r="F726" i="9" s="1"/>
  <c r="F725" i="9" s="1"/>
  <c r="F724" i="9" s="1"/>
  <c r="F723" i="9" s="1"/>
  <c r="F409" i="7"/>
  <c r="D726" i="9" s="1"/>
  <c r="D725" i="9" s="1"/>
  <c r="D724" i="9" s="1"/>
  <c r="D723" i="9" s="1"/>
  <c r="AD295" i="2"/>
  <c r="AD294" i="2" s="1"/>
  <c r="AF295" i="2"/>
  <c r="AF294" i="2" s="1"/>
  <c r="H409" i="7"/>
  <c r="AF291" i="2" l="1"/>
  <c r="AF293" i="2"/>
  <c r="AF292" i="2" s="1"/>
  <c r="AD293" i="2"/>
  <c r="AD292" i="2" s="1"/>
  <c r="AD291" i="2" s="1"/>
  <c r="E726" i="9"/>
  <c r="E725" i="9" s="1"/>
  <c r="E724" i="9" s="1"/>
  <c r="E723" i="9" s="1"/>
  <c r="H408" i="7"/>
  <c r="H407" i="7" s="1"/>
  <c r="H406" i="7" s="1"/>
  <c r="H405" i="7" s="1"/>
  <c r="H404" i="7" s="1"/>
  <c r="AE295" i="2"/>
  <c r="AE294" i="2" s="1"/>
  <c r="J408" i="7"/>
  <c r="J407" i="7" s="1"/>
  <c r="J406" i="7" s="1"/>
  <c r="J405" i="7" s="1"/>
  <c r="J404" i="7" s="1"/>
  <c r="F408" i="7"/>
  <c r="F407" i="7" s="1"/>
  <c r="F406" i="7" s="1"/>
  <c r="F405" i="7" s="1"/>
  <c r="F404" i="7" s="1"/>
  <c r="AE291" i="2" l="1"/>
  <c r="AE293" i="2"/>
  <c r="AE292" i="2" s="1"/>
  <c r="F814" i="7" l="1"/>
  <c r="F974" i="7" l="1"/>
  <c r="J974" i="7"/>
  <c r="J973" i="7" s="1"/>
  <c r="J972" i="7" s="1"/>
  <c r="J971" i="7" s="1"/>
  <c r="H974" i="7"/>
  <c r="E264" i="9" s="1"/>
  <c r="E263" i="9" s="1"/>
  <c r="E262" i="9" s="1"/>
  <c r="E261" i="9" s="1"/>
  <c r="E260" i="9" s="1"/>
  <c r="AE538" i="2"/>
  <c r="AE537" i="2" s="1"/>
  <c r="AE536" i="2" s="1"/>
  <c r="AE535" i="2" s="1"/>
  <c r="AE534" i="2" s="1"/>
  <c r="AE533" i="2" s="1"/>
  <c r="AF538" i="2"/>
  <c r="AF537" i="2" s="1"/>
  <c r="AF536" i="2" s="1"/>
  <c r="AF535" i="2" s="1"/>
  <c r="AF534" i="2" s="1"/>
  <c r="AF533" i="2" s="1"/>
  <c r="J970" i="7" l="1"/>
  <c r="J969" i="7" s="1"/>
  <c r="J968" i="7" s="1"/>
  <c r="F62" i="10" s="1"/>
  <c r="F264" i="9"/>
  <c r="F263" i="9" s="1"/>
  <c r="F262" i="9" s="1"/>
  <c r="F261" i="9" s="1"/>
  <c r="F260" i="9" s="1"/>
  <c r="F973" i="7"/>
  <c r="F972" i="7" s="1"/>
  <c r="F971" i="7" s="1"/>
  <c r="D264" i="9"/>
  <c r="D263" i="9" s="1"/>
  <c r="D262" i="9" s="1"/>
  <c r="D261" i="9" s="1"/>
  <c r="D260" i="9" s="1"/>
  <c r="AD538" i="2"/>
  <c r="AD537" i="2" s="1"/>
  <c r="H973" i="7"/>
  <c r="H972" i="7" s="1"/>
  <c r="H971" i="7" s="1"/>
  <c r="AD536" i="2" l="1"/>
  <c r="AD535" i="2" s="1"/>
  <c r="AD534" i="2" s="1"/>
  <c r="AD533" i="2" s="1"/>
  <c r="H970" i="7"/>
  <c r="H969" i="7" s="1"/>
  <c r="H968" i="7" s="1"/>
  <c r="E62" i="10" s="1"/>
  <c r="F970" i="7"/>
  <c r="F969" i="7" s="1"/>
  <c r="F968" i="7" s="1"/>
  <c r="D62" i="10" s="1"/>
  <c r="F778" i="7" l="1"/>
  <c r="F772" i="7"/>
  <c r="J948" i="7" l="1"/>
  <c r="J947" i="7" s="1"/>
  <c r="H949" i="7"/>
  <c r="E243" i="9" s="1"/>
  <c r="E242" i="9" s="1"/>
  <c r="E241" i="9" s="1"/>
  <c r="F949" i="7"/>
  <c r="D243" i="9" s="1"/>
  <c r="D242" i="9" s="1"/>
  <c r="D241" i="9" s="1"/>
  <c r="AE517" i="2"/>
  <c r="AE516" i="2" s="1"/>
  <c r="AD517" i="2"/>
  <c r="AD516" i="2" s="1"/>
  <c r="F948" i="7" l="1"/>
  <c r="F947" i="7" s="1"/>
  <c r="H948" i="7"/>
  <c r="H947" i="7" s="1"/>
  <c r="J564" i="7" l="1"/>
  <c r="H564" i="7"/>
  <c r="AD1037" i="2"/>
  <c r="AD1036" i="2" s="1"/>
  <c r="AF1037" i="2"/>
  <c r="AF1036" i="2" s="1"/>
  <c r="AE1037" i="2"/>
  <c r="AE1036" i="2" s="1"/>
  <c r="J563" i="7" l="1"/>
  <c r="J562" i="7" s="1"/>
  <c r="F564" i="7"/>
  <c r="D708" i="9" s="1"/>
  <c r="H563" i="7"/>
  <c r="H562" i="7" s="1"/>
  <c r="E708" i="9"/>
  <c r="F708" i="9"/>
  <c r="F563" i="7" l="1"/>
  <c r="F562" i="7" s="1"/>
  <c r="AE826" i="2" l="1"/>
  <c r="AE825" i="2" s="1"/>
  <c r="AE824" i="2" s="1"/>
  <c r="AE823" i="2" s="1"/>
  <c r="AF826" i="2"/>
  <c r="AF825" i="2" s="1"/>
  <c r="AF824" i="2" s="1"/>
  <c r="AF823" i="2" s="1"/>
  <c r="AD826" i="2"/>
  <c r="AD825" i="2" s="1"/>
  <c r="AD824" i="2" s="1"/>
  <c r="AD823" i="2" s="1"/>
  <c r="AD822" i="2" s="1"/>
  <c r="AF822" i="2" l="1"/>
  <c r="AF821" i="2" s="1"/>
  <c r="AE822" i="2"/>
  <c r="AE821" i="2" s="1"/>
  <c r="AD821" i="2"/>
  <c r="AF67" i="2"/>
  <c r="AF66" i="2" s="1"/>
  <c r="AF65" i="2" s="1"/>
  <c r="AF64" i="2" s="1"/>
  <c r="AE67" i="2"/>
  <c r="AE66" i="2" s="1"/>
  <c r="AE65" i="2" s="1"/>
  <c r="AE64" i="2" s="1"/>
  <c r="AD67" i="2"/>
  <c r="AD66" i="2" s="1"/>
  <c r="AD65" i="2" s="1"/>
  <c r="AD64" i="2" s="1"/>
  <c r="F125" i="7" l="1"/>
  <c r="F124" i="7" s="1"/>
  <c r="F123" i="7" s="1"/>
  <c r="F122" i="7" s="1"/>
  <c r="D784" i="9"/>
  <c r="D783" i="9" s="1"/>
  <c r="H125" i="7"/>
  <c r="H124" i="7" s="1"/>
  <c r="H123" i="7" s="1"/>
  <c r="H122" i="7" s="1"/>
  <c r="E784" i="9"/>
  <c r="E783" i="9" s="1"/>
  <c r="J125" i="7"/>
  <c r="J124" i="7" s="1"/>
  <c r="J123" i="7" s="1"/>
  <c r="J122" i="7" s="1"/>
  <c r="F784" i="9"/>
  <c r="F783" i="9" s="1"/>
  <c r="F20" i="10" l="1"/>
  <c r="E20" i="10"/>
  <c r="D20" i="10"/>
  <c r="F614" i="7" l="1"/>
  <c r="G613" i="7"/>
  <c r="G612" i="7" s="1"/>
  <c r="G607" i="7" s="1"/>
  <c r="J614" i="7"/>
  <c r="F386" i="9" s="1"/>
  <c r="F385" i="9" s="1"/>
  <c r="F384" i="9" s="1"/>
  <c r="F379" i="9" s="1"/>
  <c r="H614" i="7"/>
  <c r="H613" i="7" s="1"/>
  <c r="H612" i="7" s="1"/>
  <c r="H607" i="7" s="1"/>
  <c r="AE1081" i="2"/>
  <c r="AF1081" i="2"/>
  <c r="AF1080" i="2" l="1"/>
  <c r="AF1076" i="2" s="1"/>
  <c r="AE1080" i="2"/>
  <c r="AE1076" i="2" s="1"/>
  <c r="F613" i="7"/>
  <c r="F612" i="7" s="1"/>
  <c r="F607" i="7" s="1"/>
  <c r="G606" i="7"/>
  <c r="D386" i="9"/>
  <c r="D385" i="9" s="1"/>
  <c r="D384" i="9" s="1"/>
  <c r="D379" i="9" s="1"/>
  <c r="J613" i="7"/>
  <c r="J612" i="7" s="1"/>
  <c r="J607" i="7" s="1"/>
  <c r="E386" i="9"/>
  <c r="E385" i="9" s="1"/>
  <c r="E384" i="9" s="1"/>
  <c r="E379" i="9" s="1"/>
  <c r="AD1081" i="2"/>
  <c r="AD1080" i="2" s="1"/>
  <c r="AD1076" i="2" l="1"/>
  <c r="F606" i="7"/>
  <c r="F605" i="7" s="1"/>
  <c r="F604" i="7" s="1"/>
  <c r="H606" i="7"/>
  <c r="H605" i="7" s="1"/>
  <c r="H604" i="7" s="1"/>
  <c r="G605" i="7"/>
  <c r="G604" i="7" s="1"/>
  <c r="AE1075" i="2"/>
  <c r="AF1075" i="2"/>
  <c r="AD1075" i="2" l="1"/>
  <c r="AD1074" i="2" s="1"/>
  <c r="AD1073" i="2" s="1"/>
  <c r="AD1072" i="2" s="1"/>
  <c r="E43" i="10"/>
  <c r="E42" i="10" s="1"/>
  <c r="J606" i="7"/>
  <c r="J605" i="7" s="1"/>
  <c r="J604" i="7" s="1"/>
  <c r="D43" i="10"/>
  <c r="D42" i="10" s="1"/>
  <c r="AF1074" i="2"/>
  <c r="AF1073" i="2" s="1"/>
  <c r="AF1072" i="2" s="1"/>
  <c r="AE1074" i="2"/>
  <c r="AE1073" i="2" s="1"/>
  <c r="AE1072" i="2" s="1"/>
  <c r="J431" i="7"/>
  <c r="G430" i="7"/>
  <c r="G429" i="7" s="1"/>
  <c r="G424" i="7" l="1"/>
  <c r="G423" i="7" s="1"/>
  <c r="G417" i="7" s="1"/>
  <c r="G416" i="7" s="1"/>
  <c r="F43" i="10"/>
  <c r="F42" i="10" s="1"/>
  <c r="J430" i="7"/>
  <c r="J429" i="7" s="1"/>
  <c r="F399" i="9"/>
  <c r="F398" i="9" s="1"/>
  <c r="F397" i="9" s="1"/>
  <c r="F392" i="9" s="1"/>
  <c r="H364" i="7"/>
  <c r="E705" i="9" s="1"/>
  <c r="AD927" i="2"/>
  <c r="AD926" i="2" s="1"/>
  <c r="AD925" i="2" s="1"/>
  <c r="AE927" i="2"/>
  <c r="AE926" i="2" s="1"/>
  <c r="AE925" i="2" s="1"/>
  <c r="J424" i="7" l="1"/>
  <c r="J423" i="7" s="1"/>
  <c r="J417" i="7" s="1"/>
  <c r="J416" i="7" s="1"/>
  <c r="F364" i="7"/>
  <c r="H363" i="7"/>
  <c r="F986" i="7"/>
  <c r="F985" i="7" s="1"/>
  <c r="AE138" i="2"/>
  <c r="AE137" i="2" s="1"/>
  <c r="AE136" i="2" s="1"/>
  <c r="AE135" i="2" s="1"/>
  <c r="AE134" i="2" s="1"/>
  <c r="AF138" i="2"/>
  <c r="AF137" i="2" s="1"/>
  <c r="AF136" i="2" s="1"/>
  <c r="AF135" i="2" s="1"/>
  <c r="AF134" i="2" s="1"/>
  <c r="AD138" i="2"/>
  <c r="AD137" i="2" s="1"/>
  <c r="AD136" i="2" s="1"/>
  <c r="AD135" i="2" s="1"/>
  <c r="AD134" i="2" s="1"/>
  <c r="J777" i="7"/>
  <c r="J776" i="7" s="1"/>
  <c r="J775" i="7" s="1"/>
  <c r="H777" i="7"/>
  <c r="H776" i="7" s="1"/>
  <c r="H775" i="7" s="1"/>
  <c r="D582" i="9"/>
  <c r="D581" i="9" s="1"/>
  <c r="D580" i="9" s="1"/>
  <c r="F984" i="7" l="1"/>
  <c r="F983" i="7" s="1"/>
  <c r="F981" i="7"/>
  <c r="F982" i="7"/>
  <c r="H362" i="7"/>
  <c r="H361" i="7" s="1"/>
  <c r="F363" i="7"/>
  <c r="D705" i="9"/>
  <c r="F777" i="7"/>
  <c r="F776" i="7" s="1"/>
  <c r="F775" i="7" s="1"/>
  <c r="E582" i="9"/>
  <c r="E581" i="9" s="1"/>
  <c r="E580" i="9" s="1"/>
  <c r="F582" i="9"/>
  <c r="F581" i="9" s="1"/>
  <c r="F580" i="9" s="1"/>
  <c r="F979" i="7" l="1"/>
  <c r="F980" i="7"/>
  <c r="F362" i="7"/>
  <c r="F361" i="7" s="1"/>
  <c r="J269" i="7"/>
  <c r="F322" i="9" s="1"/>
  <c r="F321" i="9" s="1"/>
  <c r="J284" i="7"/>
  <c r="J281" i="7" s="1"/>
  <c r="H284" i="7"/>
  <c r="H281" i="7" s="1"/>
  <c r="F284" i="7"/>
  <c r="F281" i="7" s="1"/>
  <c r="H269" i="7"/>
  <c r="E322" i="9" s="1"/>
  <c r="E321" i="9" s="1"/>
  <c r="F269" i="7"/>
  <c r="D322" i="9" s="1"/>
  <c r="D321" i="9" s="1"/>
  <c r="D320" i="9" l="1"/>
  <c r="D319" i="9" s="1"/>
  <c r="F320" i="9"/>
  <c r="F319" i="9" s="1"/>
  <c r="E320" i="9"/>
  <c r="E319" i="9" s="1"/>
  <c r="D351" i="9"/>
  <c r="D350" i="9" s="1"/>
  <c r="D347" i="9" s="1"/>
  <c r="F351" i="9"/>
  <c r="F350" i="9" s="1"/>
  <c r="F347" i="9" s="1"/>
  <c r="E351" i="9"/>
  <c r="E350" i="9" s="1"/>
  <c r="E347" i="9" s="1"/>
  <c r="H280" i="7"/>
  <c r="H279" i="7" s="1"/>
  <c r="F280" i="7"/>
  <c r="F279" i="7" s="1"/>
  <c r="J280" i="7"/>
  <c r="J279" i="7" s="1"/>
  <c r="E346" i="9" l="1"/>
  <c r="E345" i="9" s="1"/>
  <c r="D346" i="9"/>
  <c r="D345" i="9" s="1"/>
  <c r="F346" i="9"/>
  <c r="F345" i="9" s="1"/>
  <c r="AF200" i="2" l="1"/>
  <c r="AF199" i="2" s="1"/>
  <c r="AD200" i="2" l="1"/>
  <c r="AD199" i="2" s="1"/>
  <c r="AE200" i="2"/>
  <c r="AE199" i="2" s="1"/>
  <c r="AE188" i="2"/>
  <c r="AF188" i="2"/>
  <c r="AD188" i="2"/>
  <c r="AD187" i="2" l="1"/>
  <c r="AD186" i="2" s="1"/>
  <c r="AF187" i="2"/>
  <c r="AF186" i="2" s="1"/>
  <c r="AE187" i="2"/>
  <c r="AE186" i="2" s="1"/>
  <c r="AD120" i="2"/>
  <c r="AE49" i="2"/>
  <c r="AE48" i="2" s="1"/>
  <c r="AE47" i="2" s="1"/>
  <c r="AF49" i="2"/>
  <c r="AF48" i="2" s="1"/>
  <c r="AF47" i="2" s="1"/>
  <c r="AD49" i="2"/>
  <c r="AD48" i="2" s="1"/>
  <c r="AD47" i="2" s="1"/>
  <c r="J861" i="7" l="1"/>
  <c r="H861" i="7"/>
  <c r="J864" i="7"/>
  <c r="H864" i="7"/>
  <c r="F864" i="7"/>
  <c r="AF457" i="2"/>
  <c r="AF456" i="2" s="1"/>
  <c r="AE457" i="2"/>
  <c r="AE456" i="2" s="1"/>
  <c r="AD457" i="2"/>
  <c r="AD456" i="2" s="1"/>
  <c r="AF454" i="2"/>
  <c r="AF451" i="2" s="1"/>
  <c r="AE454" i="2"/>
  <c r="AE451" i="2" s="1"/>
  <c r="AD454" i="2"/>
  <c r="AD451" i="2" s="1"/>
  <c r="J587" i="7"/>
  <c r="K587" i="7" s="1"/>
  <c r="F717" i="9" s="1"/>
  <c r="F716" i="9" s="1"/>
  <c r="I587" i="7"/>
  <c r="I586" i="7" s="1"/>
  <c r="H587" i="7"/>
  <c r="H586" i="7" s="1"/>
  <c r="F587" i="7"/>
  <c r="G587" i="7" s="1"/>
  <c r="G586" i="7" s="1"/>
  <c r="J589" i="7"/>
  <c r="K589" i="7" s="1"/>
  <c r="K588" i="7" s="1"/>
  <c r="H589" i="7"/>
  <c r="H588" i="7" s="1"/>
  <c r="F589" i="7"/>
  <c r="F588" i="7" s="1"/>
  <c r="AF1056" i="2"/>
  <c r="AE1056" i="2"/>
  <c r="AD1056" i="2"/>
  <c r="AF1054" i="2"/>
  <c r="AE1054" i="2"/>
  <c r="AD1054" i="2"/>
  <c r="F431" i="7"/>
  <c r="J216" i="7"/>
  <c r="J215" i="7" s="1"/>
  <c r="J214" i="7" s="1"/>
  <c r="J213" i="7" s="1"/>
  <c r="J212" i="7" s="1"/>
  <c r="J211" i="7" s="1"/>
  <c r="H216" i="7"/>
  <c r="E645" i="9" s="1"/>
  <c r="F216" i="7"/>
  <c r="D645" i="9" s="1"/>
  <c r="H175" i="7"/>
  <c r="E523" i="9" s="1"/>
  <c r="E522" i="9" s="1"/>
  <c r="J173" i="7"/>
  <c r="F521" i="9" s="1"/>
  <c r="F520" i="9" s="1"/>
  <c r="H173" i="7"/>
  <c r="F173" i="7"/>
  <c r="J175" i="7"/>
  <c r="F523" i="9" s="1"/>
  <c r="F522" i="9" s="1"/>
  <c r="F175" i="7"/>
  <c r="D523" i="9" s="1"/>
  <c r="D522" i="9" s="1"/>
  <c r="H76" i="7"/>
  <c r="E555" i="9" s="1"/>
  <c r="F76" i="7"/>
  <c r="D555" i="9" s="1"/>
  <c r="F519" i="9" l="1"/>
  <c r="AE450" i="2"/>
  <c r="AF450" i="2"/>
  <c r="D399" i="9"/>
  <c r="D398" i="9" s="1"/>
  <c r="D397" i="9" s="1"/>
  <c r="D392" i="9" s="1"/>
  <c r="H172" i="7"/>
  <c r="E521" i="9"/>
  <c r="E520" i="9" s="1"/>
  <c r="E519" i="9" s="1"/>
  <c r="F172" i="7"/>
  <c r="D521" i="9"/>
  <c r="D520" i="9" s="1"/>
  <c r="D519" i="9" s="1"/>
  <c r="F75" i="7"/>
  <c r="F74" i="7" s="1"/>
  <c r="F73" i="7" s="1"/>
  <c r="J75" i="7"/>
  <c r="J74" i="7" s="1"/>
  <c r="J73" i="7" s="1"/>
  <c r="H75" i="7"/>
  <c r="H74" i="7" s="1"/>
  <c r="H73" i="7" s="1"/>
  <c r="AD450" i="2"/>
  <c r="AF1053" i="2"/>
  <c r="AF1052" i="2" s="1"/>
  <c r="AF1051" i="2" s="1"/>
  <c r="J586" i="7"/>
  <c r="F586" i="7"/>
  <c r="F585" i="7" s="1"/>
  <c r="D719" i="9"/>
  <c r="D718" i="9" s="1"/>
  <c r="F719" i="9"/>
  <c r="F718" i="9" s="1"/>
  <c r="F715" i="9" s="1"/>
  <c r="AE1053" i="2"/>
  <c r="AE1052" i="2" s="1"/>
  <c r="AE1051" i="2" s="1"/>
  <c r="K586" i="7"/>
  <c r="K585" i="7" s="1"/>
  <c r="E719" i="9"/>
  <c r="E718" i="9" s="1"/>
  <c r="D717" i="9"/>
  <c r="D716" i="9" s="1"/>
  <c r="AD1053" i="2"/>
  <c r="AD1052" i="2" s="1"/>
  <c r="AD1051" i="2" s="1"/>
  <c r="I589" i="7"/>
  <c r="I588" i="7" s="1"/>
  <c r="I585" i="7" s="1"/>
  <c r="H585" i="7"/>
  <c r="E717" i="9"/>
  <c r="E716" i="9" s="1"/>
  <c r="G589" i="7"/>
  <c r="G588" i="7" s="1"/>
  <c r="G585" i="7" s="1"/>
  <c r="J588" i="7"/>
  <c r="H215" i="7"/>
  <c r="H214" i="7" s="1"/>
  <c r="H213" i="7" s="1"/>
  <c r="H212" i="7" s="1"/>
  <c r="H211" i="7" s="1"/>
  <c r="F645" i="9"/>
  <c r="F644" i="9" s="1"/>
  <c r="F643" i="9" s="1"/>
  <c r="F642" i="9" s="1"/>
  <c r="F641" i="9" s="1"/>
  <c r="F215" i="7"/>
  <c r="F214" i="7" s="1"/>
  <c r="F213" i="7" s="1"/>
  <c r="F212" i="7" s="1"/>
  <c r="F211" i="7" s="1"/>
  <c r="H174" i="7"/>
  <c r="J172" i="7"/>
  <c r="J174" i="7"/>
  <c r="F174" i="7"/>
  <c r="E644" i="9"/>
  <c r="E643" i="9" s="1"/>
  <c r="E642" i="9" s="1"/>
  <c r="E641" i="9" s="1"/>
  <c r="D644" i="9"/>
  <c r="D643" i="9" s="1"/>
  <c r="D642" i="9" s="1"/>
  <c r="D641" i="9" s="1"/>
  <c r="A866" i="7"/>
  <c r="A867" i="7"/>
  <c r="A868" i="7"/>
  <c r="A869" i="7"/>
  <c r="A870" i="7"/>
  <c r="A871" i="7"/>
  <c r="J171" i="7" l="1"/>
  <c r="F171" i="7"/>
  <c r="H171" i="7"/>
  <c r="H584" i="7"/>
  <c r="H583" i="7" s="1"/>
  <c r="I584" i="7"/>
  <c r="I583" i="7" s="1"/>
  <c r="K584" i="7"/>
  <c r="K583" i="7" s="1"/>
  <c r="F584" i="7"/>
  <c r="F583" i="7" s="1"/>
  <c r="G584" i="7"/>
  <c r="G583" i="7" s="1"/>
  <c r="J585" i="7"/>
  <c r="D715" i="9"/>
  <c r="E715" i="9"/>
  <c r="J584" i="7" l="1"/>
  <c r="J583" i="7" s="1"/>
  <c r="F793" i="9"/>
  <c r="F792" i="9" s="1"/>
  <c r="E793" i="9" l="1"/>
  <c r="E792" i="9" s="1"/>
  <c r="F430" i="7" l="1"/>
  <c r="AF950" i="2"/>
  <c r="AF949" i="2" s="1"/>
  <c r="AF944" i="2" s="1"/>
  <c r="AD950" i="2"/>
  <c r="AF943" i="2" l="1"/>
  <c r="D391" i="9"/>
  <c r="F429" i="7"/>
  <c r="F424" i="7" s="1"/>
  <c r="F423" i="7" s="1"/>
  <c r="AD949" i="2"/>
  <c r="AD944" i="2" s="1"/>
  <c r="H431" i="7"/>
  <c r="AE950" i="2"/>
  <c r="AE949" i="2" s="1"/>
  <c r="AE944" i="2" s="1"/>
  <c r="F417" i="7" l="1"/>
  <c r="F416" i="7" s="1"/>
  <c r="AD943" i="2"/>
  <c r="AD937" i="2" s="1"/>
  <c r="AE943" i="2"/>
  <c r="H430" i="7"/>
  <c r="H429" i="7" s="1"/>
  <c r="E399" i="9"/>
  <c r="E398" i="9" s="1"/>
  <c r="E397" i="9" s="1"/>
  <c r="E392" i="9" s="1"/>
  <c r="H424" i="7" l="1"/>
  <c r="H423" i="7" s="1"/>
  <c r="H417" i="7" s="1"/>
  <c r="H416" i="7" s="1"/>
  <c r="E391" i="9"/>
  <c r="D704" i="9"/>
  <c r="D703" i="9" s="1"/>
  <c r="G537" i="7" l="1"/>
  <c r="G536" i="7" s="1"/>
  <c r="G532" i="7" s="1"/>
  <c r="J904" i="7" l="1"/>
  <c r="H904" i="7"/>
  <c r="F904" i="7"/>
  <c r="AD1007" i="2" l="1"/>
  <c r="AE1007" i="2"/>
  <c r="AF1007" i="2"/>
  <c r="G817" i="7" l="1"/>
  <c r="I817" i="7"/>
  <c r="J217" i="7" l="1"/>
  <c r="E804" i="9"/>
  <c r="E803" i="9" s="1"/>
  <c r="E802" i="9" s="1"/>
  <c r="E795" i="9" s="1"/>
  <c r="E782" i="9" s="1"/>
  <c r="D804" i="9"/>
  <c r="D803" i="9" s="1"/>
  <c r="D802" i="9" s="1"/>
  <c r="D795" i="9" s="1"/>
  <c r="D782" i="9" s="1"/>
  <c r="F804" i="9" l="1"/>
  <c r="F803" i="9" s="1"/>
  <c r="F802" i="9" s="1"/>
  <c r="F795" i="9" s="1"/>
  <c r="F782" i="9" s="1"/>
  <c r="H217" i="7"/>
  <c r="F217" i="7"/>
  <c r="E707" i="9" l="1"/>
  <c r="E706" i="9" s="1"/>
  <c r="D707" i="9"/>
  <c r="D706" i="9" s="1"/>
  <c r="F707" i="9" l="1"/>
  <c r="F706" i="9" s="1"/>
  <c r="I582" i="7" l="1"/>
  <c r="I575" i="7" s="1"/>
  <c r="G582" i="7" l="1"/>
  <c r="G575" i="7" s="1"/>
  <c r="K582" i="7"/>
  <c r="K575" i="7" s="1"/>
  <c r="H360" i="7" l="1"/>
  <c r="AD924" i="2"/>
  <c r="AE924" i="2"/>
  <c r="AE923" i="2" s="1"/>
  <c r="AD923" i="2" l="1"/>
  <c r="F360" i="7"/>
  <c r="F960" i="7" l="1"/>
  <c r="D252" i="9" s="1"/>
  <c r="D378" i="9" l="1"/>
  <c r="H359" i="7" l="1"/>
  <c r="AE937" i="2" l="1"/>
  <c r="AF937" i="2"/>
  <c r="E378" i="9"/>
  <c r="F391" i="9"/>
  <c r="F378" i="9" s="1"/>
  <c r="F359" i="7"/>
  <c r="F449" i="9" l="1"/>
  <c r="D178" i="9" l="1"/>
  <c r="J738" i="7" l="1"/>
  <c r="J942" i="7" l="1"/>
  <c r="F942" i="7"/>
  <c r="J928" i="7"/>
  <c r="F125" i="9" s="1"/>
  <c r="F124" i="9" s="1"/>
  <c r="H928" i="7"/>
  <c r="E125" i="9" s="1"/>
  <c r="E124" i="9" s="1"/>
  <c r="F928" i="7"/>
  <c r="D125" i="9" s="1"/>
  <c r="D124" i="9" s="1"/>
  <c r="J926" i="7"/>
  <c r="F123" i="9" s="1"/>
  <c r="F122" i="9" s="1"/>
  <c r="H926" i="7"/>
  <c r="E123" i="9" s="1"/>
  <c r="E122" i="9" s="1"/>
  <c r="F926" i="7"/>
  <c r="D123" i="9" s="1"/>
  <c r="D122" i="9" s="1"/>
  <c r="J924" i="7"/>
  <c r="F121" i="9" s="1"/>
  <c r="F120" i="9" s="1"/>
  <c r="H924" i="7"/>
  <c r="E121" i="9" s="1"/>
  <c r="E120" i="9" s="1"/>
  <c r="F924" i="7"/>
  <c r="D121" i="9" s="1"/>
  <c r="D120" i="9" s="1"/>
  <c r="J817" i="7"/>
  <c r="H817" i="7"/>
  <c r="J800" i="7"/>
  <c r="H800" i="7"/>
  <c r="F800" i="7"/>
  <c r="J797" i="7"/>
  <c r="H797" i="7"/>
  <c r="F797" i="7"/>
  <c r="J794" i="7"/>
  <c r="H794" i="7"/>
  <c r="F794" i="7"/>
  <c r="J791" i="7"/>
  <c r="H791" i="7"/>
  <c r="F791" i="7"/>
  <c r="J759" i="7"/>
  <c r="H759" i="7"/>
  <c r="F759" i="7"/>
  <c r="J758" i="7"/>
  <c r="H758" i="7"/>
  <c r="F758" i="7"/>
  <c r="J757" i="7"/>
  <c r="H757" i="7"/>
  <c r="F757" i="7"/>
  <c r="J747" i="7"/>
  <c r="H747" i="7"/>
  <c r="E178" i="9" s="1"/>
  <c r="F747" i="7"/>
  <c r="H738" i="7"/>
  <c r="I738" i="7" s="1"/>
  <c r="F738" i="7"/>
  <c r="J690" i="7"/>
  <c r="H690" i="7"/>
  <c r="F690" i="7"/>
  <c r="J676" i="7"/>
  <c r="H676" i="7"/>
  <c r="F676" i="7"/>
  <c r="J663" i="7"/>
  <c r="H663" i="7"/>
  <c r="F663" i="7"/>
  <c r="J660" i="7"/>
  <c r="H660" i="7"/>
  <c r="F660" i="7"/>
  <c r="J657" i="7"/>
  <c r="H657" i="7"/>
  <c r="F657" i="7"/>
  <c r="J636" i="7"/>
  <c r="H636" i="7"/>
  <c r="F636" i="7"/>
  <c r="J630" i="7"/>
  <c r="H630" i="7"/>
  <c r="F630" i="7"/>
  <c r="J603" i="7"/>
  <c r="H603" i="7"/>
  <c r="F603" i="7"/>
  <c r="J600" i="7"/>
  <c r="H600" i="7"/>
  <c r="F600" i="7"/>
  <c r="J595" i="7"/>
  <c r="H595" i="7"/>
  <c r="F595" i="7"/>
  <c r="J552" i="7"/>
  <c r="H552" i="7"/>
  <c r="F552" i="7"/>
  <c r="J549" i="7"/>
  <c r="H549" i="7"/>
  <c r="E690" i="9" s="1"/>
  <c r="F549" i="7"/>
  <c r="D690" i="9" s="1"/>
  <c r="H538" i="7"/>
  <c r="F538" i="7"/>
  <c r="J529" i="7"/>
  <c r="J318" i="7"/>
  <c r="H318" i="7"/>
  <c r="F318" i="7"/>
  <c r="J187" i="7"/>
  <c r="H187" i="7"/>
  <c r="F187" i="7"/>
  <c r="J161" i="7"/>
  <c r="H161" i="7"/>
  <c r="F161" i="7"/>
  <c r="J158" i="7"/>
  <c r="H158" i="7"/>
  <c r="F158" i="7"/>
  <c r="J155" i="7"/>
  <c r="H155" i="7"/>
  <c r="F155" i="7"/>
  <c r="AE81" i="2"/>
  <c r="AF81" i="2"/>
  <c r="AD81" i="2"/>
  <c r="J121" i="7"/>
  <c r="H121" i="7"/>
  <c r="F121" i="7"/>
  <c r="J118" i="7"/>
  <c r="F554" i="9" s="1"/>
  <c r="F553" i="9" s="1"/>
  <c r="F552" i="9" s="1"/>
  <c r="H118" i="7"/>
  <c r="E554" i="9" s="1"/>
  <c r="E553" i="9" s="1"/>
  <c r="E552" i="9" s="1"/>
  <c r="F118" i="7"/>
  <c r="D554" i="9" s="1"/>
  <c r="D553" i="9" s="1"/>
  <c r="D552" i="9" s="1"/>
  <c r="J115" i="7"/>
  <c r="H115" i="7"/>
  <c r="F115" i="7"/>
  <c r="J112" i="7"/>
  <c r="H112" i="7"/>
  <c r="F112" i="7"/>
  <c r="J103" i="7"/>
  <c r="H103" i="7"/>
  <c r="F103" i="7"/>
  <c r="J100" i="7"/>
  <c r="H100" i="7"/>
  <c r="F100" i="7"/>
  <c r="J97" i="7"/>
  <c r="H97" i="7"/>
  <c r="F97" i="7"/>
  <c r="J46" i="7"/>
  <c r="H46" i="7"/>
  <c r="F46" i="7"/>
  <c r="J43" i="7"/>
  <c r="H43" i="7"/>
  <c r="F43" i="7"/>
  <c r="J40" i="7"/>
  <c r="H40" i="7"/>
  <c r="F40" i="7"/>
  <c r="J36" i="7"/>
  <c r="H36" i="7"/>
  <c r="F36" i="7"/>
  <c r="J33" i="7"/>
  <c r="H33" i="7"/>
  <c r="F33" i="7"/>
  <c r="D117" i="9" l="1"/>
  <c r="E117" i="9"/>
  <c r="F117" i="9"/>
  <c r="D116" i="9"/>
  <c r="F116" i="9"/>
  <c r="D675" i="9"/>
  <c r="E116" i="9"/>
  <c r="AD817" i="2" l="1"/>
  <c r="AD816" i="2" s="1"/>
  <c r="AE1137" i="2" l="1"/>
  <c r="AE1136" i="2" s="1"/>
  <c r="AF1137" i="2"/>
  <c r="AF1136" i="2" s="1"/>
  <c r="AD1137" i="2"/>
  <c r="AD1136" i="2" s="1"/>
  <c r="AE1028" i="2"/>
  <c r="AE1027" i="2" s="1"/>
  <c r="AF1028" i="2"/>
  <c r="AF1027" i="2" s="1"/>
  <c r="AD1028" i="2"/>
  <c r="AD1027" i="2" s="1"/>
  <c r="AE817" i="2"/>
  <c r="AE816" i="2" s="1"/>
  <c r="AF817" i="2"/>
  <c r="AF816" i="2" s="1"/>
  <c r="AF1145" i="2"/>
  <c r="AF1144" i="2" s="1"/>
  <c r="AF1143" i="2" s="1"/>
  <c r="AF1142" i="2" s="1"/>
  <c r="AF1141" i="2" s="1"/>
  <c r="AF1140" i="2" s="1"/>
  <c r="AF1139" i="2" s="1"/>
  <c r="AE1145" i="2"/>
  <c r="AE1144" i="2" s="1"/>
  <c r="AE1143" i="2" s="1"/>
  <c r="AE1142" i="2" s="1"/>
  <c r="AE1141" i="2" s="1"/>
  <c r="AE1140" i="2" s="1"/>
  <c r="AE1139" i="2" s="1"/>
  <c r="AD1145" i="2"/>
  <c r="AD1144" i="2" s="1"/>
  <c r="AD1143" i="2" s="1"/>
  <c r="AD1142" i="2" s="1"/>
  <c r="AD1141" i="2" s="1"/>
  <c r="AD1140" i="2" s="1"/>
  <c r="AD1139" i="2" s="1"/>
  <c r="AF1134" i="2"/>
  <c r="AF1133" i="2" s="1"/>
  <c r="AE1134" i="2"/>
  <c r="AE1133" i="2" s="1"/>
  <c r="AD1134" i="2"/>
  <c r="AD1133" i="2" s="1"/>
  <c r="AF1131" i="2"/>
  <c r="AF1130" i="2" s="1"/>
  <c r="AE1131" i="2"/>
  <c r="AE1130" i="2" s="1"/>
  <c r="AD1131" i="2"/>
  <c r="AD1130" i="2" s="1"/>
  <c r="AF1128" i="2"/>
  <c r="AF1127" i="2" s="1"/>
  <c r="AE1128" i="2"/>
  <c r="AE1127" i="2" s="1"/>
  <c r="AD1128" i="2"/>
  <c r="AD1127" i="2" s="1"/>
  <c r="AF1089" i="2"/>
  <c r="AF1088" i="2" s="1"/>
  <c r="AF1087" i="2" s="1"/>
  <c r="AF1086" i="2" s="1"/>
  <c r="AF1085" i="2" s="1"/>
  <c r="AF1084" i="2" s="1"/>
  <c r="AE1089" i="2"/>
  <c r="AE1088" i="2" s="1"/>
  <c r="AE1087" i="2" s="1"/>
  <c r="AE1086" i="2" s="1"/>
  <c r="AE1085" i="2" s="1"/>
  <c r="AE1084" i="2" s="1"/>
  <c r="AD1089" i="2"/>
  <c r="AD1088" i="2" s="1"/>
  <c r="AD1087" i="2" s="1"/>
  <c r="AD1086" i="2" s="1"/>
  <c r="AD1085" i="2" s="1"/>
  <c r="AD1084" i="2" s="1"/>
  <c r="AF1070" i="2"/>
  <c r="AF1069" i="2" s="1"/>
  <c r="AE1070" i="2"/>
  <c r="AE1069" i="2" s="1"/>
  <c r="AD1070" i="2"/>
  <c r="AD1069" i="2" s="1"/>
  <c r="AF1067" i="2"/>
  <c r="AF1066" i="2" s="1"/>
  <c r="AE1067" i="2"/>
  <c r="AE1066" i="2" s="1"/>
  <c r="AD1067" i="2"/>
  <c r="AD1066" i="2" s="1"/>
  <c r="AF1062" i="2"/>
  <c r="AF1061" i="2" s="1"/>
  <c r="AE1062" i="2"/>
  <c r="AE1061" i="2" s="1"/>
  <c r="AD1062" i="2"/>
  <c r="AD1061" i="2" s="1"/>
  <c r="AF1025" i="2"/>
  <c r="AF1024" i="2" s="1"/>
  <c r="AE1025" i="2"/>
  <c r="AE1024" i="2" s="1"/>
  <c r="AD1025" i="2"/>
  <c r="AD1024" i="2" s="1"/>
  <c r="AE1014" i="2"/>
  <c r="AE1013" i="2" s="1"/>
  <c r="AE1009" i="2" s="1"/>
  <c r="AD1014" i="2"/>
  <c r="AD1013" i="2" s="1"/>
  <c r="AD1009" i="2" s="1"/>
  <c r="AF1006" i="2"/>
  <c r="AF996" i="2" s="1"/>
  <c r="AF921" i="2"/>
  <c r="AF920" i="2" s="1"/>
  <c r="AF919" i="2" s="1"/>
  <c r="AF918" i="2" s="1"/>
  <c r="AF904" i="2" s="1"/>
  <c r="AE921" i="2"/>
  <c r="AE920" i="2" s="1"/>
  <c r="AE919" i="2" s="1"/>
  <c r="AE918" i="2" s="1"/>
  <c r="AE904" i="2" s="1"/>
  <c r="AF901" i="2"/>
  <c r="AF898" i="2" s="1"/>
  <c r="AE901" i="2"/>
  <c r="AE898" i="2" s="1"/>
  <c r="AD901" i="2"/>
  <c r="AD898" i="2" s="1"/>
  <c r="AF877" i="2"/>
  <c r="AE877" i="2"/>
  <c r="AD877" i="2"/>
  <c r="AF875" i="2"/>
  <c r="AE875" i="2"/>
  <c r="AD875" i="2"/>
  <c r="AF873" i="2"/>
  <c r="AE873" i="2"/>
  <c r="AD873" i="2"/>
  <c r="AF866" i="2"/>
  <c r="AF865" i="2" s="1"/>
  <c r="AF864" i="2" s="1"/>
  <c r="AF863" i="2" s="1"/>
  <c r="AF862" i="2" s="1"/>
  <c r="AF861" i="2" s="1"/>
  <c r="AE866" i="2"/>
  <c r="AE865" i="2" s="1"/>
  <c r="AE864" i="2" s="1"/>
  <c r="AE863" i="2" s="1"/>
  <c r="AE862" i="2" s="1"/>
  <c r="AE861" i="2" s="1"/>
  <c r="AD866" i="2"/>
  <c r="AD865" i="2" s="1"/>
  <c r="AD864" i="2" s="1"/>
  <c r="AD863" i="2" s="1"/>
  <c r="AD862" i="2" s="1"/>
  <c r="AD861" i="2" s="1"/>
  <c r="AF855" i="2"/>
  <c r="AF854" i="2" s="1"/>
  <c r="AE855" i="2"/>
  <c r="AE854" i="2" s="1"/>
  <c r="AD855" i="2"/>
  <c r="AD854" i="2" s="1"/>
  <c r="AF843" i="2"/>
  <c r="AF842" i="2" s="1"/>
  <c r="AE843" i="2"/>
  <c r="AE842" i="2" s="1"/>
  <c r="AD843" i="2"/>
  <c r="AD842" i="2" s="1"/>
  <c r="AF840" i="2"/>
  <c r="AF839" i="2" s="1"/>
  <c r="AE840" i="2"/>
  <c r="AE839" i="2" s="1"/>
  <c r="AD840" i="2"/>
  <c r="AD839" i="2" s="1"/>
  <c r="AF837" i="2"/>
  <c r="AF836" i="2" s="1"/>
  <c r="AE837" i="2"/>
  <c r="AE836" i="2" s="1"/>
  <c r="AD837" i="2"/>
  <c r="AD836" i="2" s="1"/>
  <c r="AF834" i="2"/>
  <c r="AF833" i="2" s="1"/>
  <c r="AE834" i="2"/>
  <c r="AE833" i="2" s="1"/>
  <c r="AD834" i="2"/>
  <c r="AD833" i="2" s="1"/>
  <c r="AD815" i="2"/>
  <c r="AF807" i="2"/>
  <c r="AF806" i="2" s="1"/>
  <c r="AF805" i="2" s="1"/>
  <c r="AF804" i="2" s="1"/>
  <c r="AE807" i="2"/>
  <c r="AE806" i="2" s="1"/>
  <c r="AE805" i="2" s="1"/>
  <c r="AE804" i="2" s="1"/>
  <c r="AD807" i="2"/>
  <c r="AD806" i="2" s="1"/>
  <c r="AD805" i="2" s="1"/>
  <c r="AD804" i="2" s="1"/>
  <c r="AF798" i="2"/>
  <c r="AF797" i="2" s="1"/>
  <c r="AE798" i="2"/>
  <c r="AE797" i="2" s="1"/>
  <c r="AD798" i="2"/>
  <c r="AD797" i="2" s="1"/>
  <c r="AF767" i="2"/>
  <c r="AF766" i="2" s="1"/>
  <c r="AF765" i="2" s="1"/>
  <c r="AE767" i="2"/>
  <c r="AE766" i="2" s="1"/>
  <c r="AE765" i="2" s="1"/>
  <c r="AD767" i="2"/>
  <c r="AD766" i="2" s="1"/>
  <c r="AD765" i="2" s="1"/>
  <c r="AF753" i="2"/>
  <c r="AF752" i="2" s="1"/>
  <c r="AF751" i="2" s="1"/>
  <c r="AE753" i="2"/>
  <c r="AE752" i="2" s="1"/>
  <c r="AE751" i="2" s="1"/>
  <c r="AD753" i="2"/>
  <c r="AD752" i="2" s="1"/>
  <c r="AD751" i="2" s="1"/>
  <c r="AF740" i="2"/>
  <c r="AF739" i="2" s="1"/>
  <c r="AE740" i="2"/>
  <c r="AE739" i="2" s="1"/>
  <c r="AD740" i="2"/>
  <c r="AD739" i="2" s="1"/>
  <c r="AF737" i="2"/>
  <c r="AF736" i="2" s="1"/>
  <c r="AE737" i="2"/>
  <c r="AE736" i="2" s="1"/>
  <c r="AD737" i="2"/>
  <c r="AD736" i="2" s="1"/>
  <c r="AF734" i="2"/>
  <c r="AF733" i="2" s="1"/>
  <c r="AE734" i="2"/>
  <c r="AE733" i="2" s="1"/>
  <c r="AD734" i="2"/>
  <c r="AD733" i="2" s="1"/>
  <c r="AF713" i="2"/>
  <c r="AF712" i="2" s="1"/>
  <c r="AE713" i="2"/>
  <c r="AE712" i="2" s="1"/>
  <c r="AD713" i="2"/>
  <c r="AD712" i="2" s="1"/>
  <c r="AF707" i="2"/>
  <c r="AF706" i="2" s="1"/>
  <c r="AF705" i="2" s="1"/>
  <c r="AE707" i="2"/>
  <c r="AE706" i="2" s="1"/>
  <c r="AE705" i="2" s="1"/>
  <c r="AD707" i="2"/>
  <c r="AD706" i="2" s="1"/>
  <c r="AD705" i="2" s="1"/>
  <c r="AF698" i="2"/>
  <c r="AF697" i="2" s="1"/>
  <c r="AF696" i="2" s="1"/>
  <c r="AF695" i="2" s="1"/>
  <c r="AF694" i="2" s="1"/>
  <c r="AF693" i="2" s="1"/>
  <c r="AF692" i="2" s="1"/>
  <c r="AE698" i="2"/>
  <c r="AE697" i="2" s="1"/>
  <c r="AE696" i="2" s="1"/>
  <c r="AE695" i="2" s="1"/>
  <c r="AE694" i="2" s="1"/>
  <c r="AE693" i="2" s="1"/>
  <c r="AE692" i="2" s="1"/>
  <c r="AD698" i="2"/>
  <c r="AD697" i="2" s="1"/>
  <c r="AD696" i="2" s="1"/>
  <c r="AD695" i="2" s="1"/>
  <c r="AD694" i="2" s="1"/>
  <c r="AD693" i="2" s="1"/>
  <c r="AD692" i="2" s="1"/>
  <c r="AF689" i="2"/>
  <c r="AE689" i="2"/>
  <c r="AE688" i="2" s="1"/>
  <c r="AD689" i="2"/>
  <c r="AD688" i="2" s="1"/>
  <c r="AF682" i="2"/>
  <c r="AF681" i="2" s="1"/>
  <c r="AF680" i="2" s="1"/>
  <c r="AF679" i="2" s="1"/>
  <c r="AF678" i="2" s="1"/>
  <c r="AF677" i="2" s="1"/>
  <c r="AE682" i="2"/>
  <c r="AE681" i="2" s="1"/>
  <c r="AE680" i="2" s="1"/>
  <c r="AE679" i="2" s="1"/>
  <c r="AE678" i="2" s="1"/>
  <c r="AE677" i="2" s="1"/>
  <c r="AD682" i="2"/>
  <c r="AD681" i="2" s="1"/>
  <c r="AD680" i="2" s="1"/>
  <c r="AD679" i="2" s="1"/>
  <c r="AD678" i="2" s="1"/>
  <c r="AD677" i="2" s="1"/>
  <c r="AF662" i="2"/>
  <c r="AE662" i="2"/>
  <c r="AD662" i="2"/>
  <c r="AB662" i="2"/>
  <c r="AB661" i="2" s="1"/>
  <c r="AF661" i="2"/>
  <c r="AE661" i="2"/>
  <c r="AD661" i="2"/>
  <c r="AF659" i="2"/>
  <c r="AE659" i="2"/>
  <c r="AD659" i="2"/>
  <c r="AB659" i="2"/>
  <c r="AB658" i="2" s="1"/>
  <c r="AF658" i="2"/>
  <c r="AE658" i="2"/>
  <c r="AD658" i="2"/>
  <c r="AF656" i="2"/>
  <c r="AF655" i="2" s="1"/>
  <c r="AE656" i="2"/>
  <c r="AE655" i="2" s="1"/>
  <c r="AD656" i="2"/>
  <c r="AD655" i="2" s="1"/>
  <c r="AF651" i="2"/>
  <c r="AE651" i="2"/>
  <c r="AD651" i="2"/>
  <c r="AF649" i="2"/>
  <c r="AE649" i="2"/>
  <c r="AD649" i="2"/>
  <c r="AF643" i="2"/>
  <c r="AE643" i="2"/>
  <c r="AD643" i="2"/>
  <c r="AE1020" i="2" l="1"/>
  <c r="AE1019" i="2" s="1"/>
  <c r="AD796" i="2"/>
  <c r="AD795" i="2" s="1"/>
  <c r="AE796" i="2"/>
  <c r="AE795" i="2" s="1"/>
  <c r="AF796" i="2"/>
  <c r="AF795" i="2" s="1"/>
  <c r="AD1020" i="2"/>
  <c r="AD1019" i="2" s="1"/>
  <c r="AF1020" i="2"/>
  <c r="AF1019" i="2" s="1"/>
  <c r="AD732" i="2"/>
  <c r="AD728" i="2" s="1"/>
  <c r="AE642" i="2"/>
  <c r="AE641" i="2" s="1"/>
  <c r="AF642" i="2"/>
  <c r="AF641" i="2" s="1"/>
  <c r="AD642" i="2"/>
  <c r="AD641" i="2" s="1"/>
  <c r="AE704" i="2"/>
  <c r="AE703" i="2" s="1"/>
  <c r="AF704" i="2"/>
  <c r="AF703" i="2" s="1"/>
  <c r="AD704" i="2"/>
  <c r="AD703" i="2" s="1"/>
  <c r="AE687" i="2"/>
  <c r="AE686" i="2" s="1"/>
  <c r="AE685" i="2" s="1"/>
  <c r="AE684" i="2" s="1"/>
  <c r="AE676" i="2" s="1"/>
  <c r="AD687" i="2"/>
  <c r="AD686" i="2" s="1"/>
  <c r="AD685" i="2" s="1"/>
  <c r="AD684" i="2" s="1"/>
  <c r="AD676" i="2" s="1"/>
  <c r="AF732" i="2"/>
  <c r="AF728" i="2" s="1"/>
  <c r="AF727" i="2" s="1"/>
  <c r="AE732" i="2"/>
  <c r="AE728" i="2" s="1"/>
  <c r="AE727" i="2" s="1"/>
  <c r="AF688" i="2"/>
  <c r="AD897" i="2"/>
  <c r="AD896" i="2" s="1"/>
  <c r="AD895" i="2" s="1"/>
  <c r="AD894" i="2" s="1"/>
  <c r="AE897" i="2"/>
  <c r="AE896" i="2" s="1"/>
  <c r="AE895" i="2" s="1"/>
  <c r="AE894" i="2" s="1"/>
  <c r="AF897" i="2"/>
  <c r="AF896" i="2" s="1"/>
  <c r="AF895" i="2" s="1"/>
  <c r="AF894" i="2" s="1"/>
  <c r="AD858" i="2"/>
  <c r="AD857" i="2" s="1"/>
  <c r="AD853" i="2" s="1"/>
  <c r="AD849" i="2" s="1"/>
  <c r="AD848" i="2" s="1"/>
  <c r="F821" i="7"/>
  <c r="AF857" i="2"/>
  <c r="AF853" i="2" s="1"/>
  <c r="AE858" i="2"/>
  <c r="AE857" i="2" s="1"/>
  <c r="AE853" i="2" s="1"/>
  <c r="AD1006" i="2"/>
  <c r="AD996" i="2" s="1"/>
  <c r="AF1014" i="2"/>
  <c r="AF1013" i="2" s="1"/>
  <c r="AF1009" i="2" s="1"/>
  <c r="J538" i="7"/>
  <c r="AE1006" i="2"/>
  <c r="AE996" i="2" s="1"/>
  <c r="H529" i="7"/>
  <c r="AD1106" i="2"/>
  <c r="AD1105" i="2" s="1"/>
  <c r="AD1101" i="2" s="1"/>
  <c r="F937" i="7"/>
  <c r="AF1106" i="2"/>
  <c r="AF1105" i="2" s="1"/>
  <c r="AF1101" i="2" s="1"/>
  <c r="AD921" i="2"/>
  <c r="AE1106" i="2"/>
  <c r="AE1105" i="2" s="1"/>
  <c r="AE1101" i="2" s="1"/>
  <c r="H937" i="7"/>
  <c r="AE1126" i="2"/>
  <c r="AE1125" i="2" s="1"/>
  <c r="AE1118" i="2" s="1"/>
  <c r="AF1126" i="2"/>
  <c r="AF1125" i="2" s="1"/>
  <c r="AF1118" i="2" s="1"/>
  <c r="AD1126" i="2"/>
  <c r="AD1125" i="2" s="1"/>
  <c r="AD1118" i="2" s="1"/>
  <c r="AE654" i="2"/>
  <c r="AE653" i="2" s="1"/>
  <c r="AE815" i="2"/>
  <c r="AF654" i="2"/>
  <c r="AF653" i="2" s="1"/>
  <c r="AF872" i="2"/>
  <c r="AF871" i="2" s="1"/>
  <c r="AF870" i="2" s="1"/>
  <c r="AF869" i="2" s="1"/>
  <c r="AF868" i="2" s="1"/>
  <c r="AF860" i="2" s="1"/>
  <c r="AF648" i="2"/>
  <c r="AF647" i="2" s="1"/>
  <c r="AD654" i="2"/>
  <c r="AD653" i="2" s="1"/>
  <c r="AE648" i="2"/>
  <c r="AE647" i="2" s="1"/>
  <c r="AE872" i="2"/>
  <c r="AE871" i="2" s="1"/>
  <c r="AE870" i="2" s="1"/>
  <c r="AE869" i="2" s="1"/>
  <c r="AE868" i="2" s="1"/>
  <c r="AE860" i="2" s="1"/>
  <c r="AD1060" i="2"/>
  <c r="AD1059" i="2" s="1"/>
  <c r="AD648" i="2"/>
  <c r="AD647" i="2" s="1"/>
  <c r="AF936" i="2"/>
  <c r="AE936" i="2"/>
  <c r="AE832" i="2"/>
  <c r="AE831" i="2" s="1"/>
  <c r="AE830" i="2" s="1"/>
  <c r="AE829" i="2" s="1"/>
  <c r="AD872" i="2"/>
  <c r="AD871" i="2" s="1"/>
  <c r="AD870" i="2" s="1"/>
  <c r="AD869" i="2" s="1"/>
  <c r="AD868" i="2" s="1"/>
  <c r="AD860" i="2" s="1"/>
  <c r="AF1060" i="2"/>
  <c r="AF1059" i="2" s="1"/>
  <c r="AF832" i="2"/>
  <c r="AF831" i="2" s="1"/>
  <c r="AF830" i="2" s="1"/>
  <c r="AF829" i="2" s="1"/>
  <c r="AD832" i="2"/>
  <c r="AD831" i="2" s="1"/>
  <c r="AD830" i="2" s="1"/>
  <c r="AD829" i="2" s="1"/>
  <c r="AF815" i="2"/>
  <c r="AE1060" i="2"/>
  <c r="AE1059" i="2" s="1"/>
  <c r="AE1058" i="2" s="1"/>
  <c r="AF634" i="2"/>
  <c r="AF633" i="2" s="1"/>
  <c r="AF632" i="2" s="1"/>
  <c r="AF631" i="2" s="1"/>
  <c r="AF630" i="2" s="1"/>
  <c r="AF629" i="2" s="1"/>
  <c r="AF628" i="2" s="1"/>
  <c r="AE634" i="2"/>
  <c r="AE633" i="2" s="1"/>
  <c r="AE632" i="2" s="1"/>
  <c r="AE631" i="2" s="1"/>
  <c r="AE630" i="2" s="1"/>
  <c r="AE629" i="2" s="1"/>
  <c r="AE628" i="2" s="1"/>
  <c r="AD634" i="2"/>
  <c r="AD633" i="2" s="1"/>
  <c r="AD632" i="2" s="1"/>
  <c r="AD631" i="2" s="1"/>
  <c r="AD630" i="2" s="1"/>
  <c r="AD629" i="2" s="1"/>
  <c r="AD628" i="2" s="1"/>
  <c r="AF608" i="2"/>
  <c r="AE608" i="2"/>
  <c r="AD608" i="2"/>
  <c r="AB608" i="2"/>
  <c r="AB607" i="2" s="1"/>
  <c r="AF607" i="2"/>
  <c r="AE607" i="2"/>
  <c r="AD607" i="2"/>
  <c r="AF605" i="2"/>
  <c r="AE605" i="2"/>
  <c r="AD605" i="2"/>
  <c r="AB605" i="2"/>
  <c r="AB604" i="2" s="1"/>
  <c r="AF604" i="2"/>
  <c r="AE604" i="2"/>
  <c r="AD604" i="2"/>
  <c r="AF602" i="2"/>
  <c r="AF601" i="2" s="1"/>
  <c r="AE602" i="2"/>
  <c r="AE601" i="2" s="1"/>
  <c r="AD602" i="2"/>
  <c r="AD601" i="2" s="1"/>
  <c r="AD727" i="2" l="1"/>
  <c r="AD726" i="2" s="1"/>
  <c r="AD725" i="2" s="1"/>
  <c r="AE726" i="2"/>
  <c r="AE725" i="2" s="1"/>
  <c r="AD803" i="2"/>
  <c r="AD794" i="2" s="1"/>
  <c r="AD793" i="2" s="1"/>
  <c r="AD920" i="2"/>
  <c r="AF687" i="2"/>
  <c r="AF686" i="2" s="1"/>
  <c r="AF685" i="2" s="1"/>
  <c r="AF684" i="2" s="1"/>
  <c r="AF676" i="2" s="1"/>
  <c r="AE600" i="2"/>
  <c r="AE599" i="2" s="1"/>
  <c r="AE598" i="2" s="1"/>
  <c r="AD1100" i="2"/>
  <c r="AD1099" i="2" s="1"/>
  <c r="AD1098" i="2" s="1"/>
  <c r="AD1083" i="2" s="1"/>
  <c r="AF1100" i="2"/>
  <c r="AF1099" i="2" s="1"/>
  <c r="AF1098" i="2" s="1"/>
  <c r="AF1083" i="2" s="1"/>
  <c r="AE1100" i="2"/>
  <c r="AE1099" i="2" s="1"/>
  <c r="AE1098" i="2" s="1"/>
  <c r="AE1083" i="2" s="1"/>
  <c r="AE995" i="2"/>
  <c r="AD995" i="2"/>
  <c r="AD994" i="2" s="1"/>
  <c r="AD993" i="2" s="1"/>
  <c r="AD1117" i="2"/>
  <c r="AD1116" i="2" s="1"/>
  <c r="AF1117" i="2"/>
  <c r="AF1116" i="2" s="1"/>
  <c r="AE1117" i="2"/>
  <c r="AE1116" i="2" s="1"/>
  <c r="AE849" i="2"/>
  <c r="AE848" i="2" s="1"/>
  <c r="AE847" i="2" s="1"/>
  <c r="AE828" i="2" s="1"/>
  <c r="AF849" i="2"/>
  <c r="AF848" i="2" s="1"/>
  <c r="AF847" i="2" s="1"/>
  <c r="AF828" i="2" s="1"/>
  <c r="AE803" i="2"/>
  <c r="AE794" i="2" s="1"/>
  <c r="AE793" i="2" s="1"/>
  <c r="AF803" i="2"/>
  <c r="AF794" i="2" s="1"/>
  <c r="AF793" i="2" s="1"/>
  <c r="AF702" i="2"/>
  <c r="AF701" i="2" s="1"/>
  <c r="AE702" i="2"/>
  <c r="AE701" i="2" s="1"/>
  <c r="AD847" i="2"/>
  <c r="AD828" i="2" s="1"/>
  <c r="AF1058" i="2"/>
  <c r="AD1058" i="2"/>
  <c r="AD936" i="2"/>
  <c r="AD600" i="2"/>
  <c r="AD599" i="2" s="1"/>
  <c r="AD598" i="2" s="1"/>
  <c r="AD640" i="2"/>
  <c r="AD639" i="2" s="1"/>
  <c r="AD638" i="2" s="1"/>
  <c r="AE640" i="2"/>
  <c r="AE639" i="2" s="1"/>
  <c r="AE638" i="2" s="1"/>
  <c r="AF640" i="2"/>
  <c r="AF639" i="2" s="1"/>
  <c r="AF638" i="2" s="1"/>
  <c r="AF600" i="2"/>
  <c r="AF599" i="2" s="1"/>
  <c r="AF598" i="2" s="1"/>
  <c r="AF995" i="2"/>
  <c r="AD637" i="2" l="1"/>
  <c r="AD636" i="2" s="1"/>
  <c r="AE903" i="2"/>
  <c r="AE893" i="2" s="1"/>
  <c r="AD919" i="2"/>
  <c r="AD918" i="2" s="1"/>
  <c r="AF597" i="2"/>
  <c r="AF596" i="2" s="1"/>
  <c r="AF595" i="2" s="1"/>
  <c r="AF594" i="2" s="1"/>
  <c r="AE597" i="2"/>
  <c r="AE596" i="2" s="1"/>
  <c r="AE595" i="2" s="1"/>
  <c r="AE594" i="2" s="1"/>
  <c r="AD597" i="2"/>
  <c r="AD596" i="2" s="1"/>
  <c r="AD595" i="2" s="1"/>
  <c r="AD594" i="2" s="1"/>
  <c r="AE1050" i="2"/>
  <c r="AE1043" i="2" s="1"/>
  <c r="AD1050" i="2"/>
  <c r="AD1043" i="2" s="1"/>
  <c r="AD929" i="2" s="1"/>
  <c r="AF1050" i="2"/>
  <c r="AF1043" i="2" s="1"/>
  <c r="AD702" i="2"/>
  <c r="AD701" i="2" s="1"/>
  <c r="AF726" i="2"/>
  <c r="AF725" i="2" s="1"/>
  <c r="AF637" i="2"/>
  <c r="AF636" i="2" s="1"/>
  <c r="AE637" i="2"/>
  <c r="AE636" i="2" s="1"/>
  <c r="AD904" i="2" l="1"/>
  <c r="AD903" i="2" s="1"/>
  <c r="AD893" i="2" s="1"/>
  <c r="AF700" i="2"/>
  <c r="AF691" i="2" s="1"/>
  <c r="AE700" i="2"/>
  <c r="AE691" i="2" s="1"/>
  <c r="AD700" i="2"/>
  <c r="AD691" i="2" s="1"/>
  <c r="AF592" i="2"/>
  <c r="AF591" i="2" s="1"/>
  <c r="AF590" i="2" s="1"/>
  <c r="AF589" i="2" s="1"/>
  <c r="AF588" i="2" s="1"/>
  <c r="AE592" i="2"/>
  <c r="AE591" i="2" s="1"/>
  <c r="AE590" i="2" s="1"/>
  <c r="AE589" i="2" s="1"/>
  <c r="AE588" i="2" s="1"/>
  <c r="AD592" i="2"/>
  <c r="AD591" i="2" s="1"/>
  <c r="AD590" i="2" s="1"/>
  <c r="AD589" i="2" s="1"/>
  <c r="AD588" i="2" s="1"/>
  <c r="AF576" i="2"/>
  <c r="AF575" i="2" s="1"/>
  <c r="AE576" i="2"/>
  <c r="AE575" i="2" s="1"/>
  <c r="AD576" i="2"/>
  <c r="AD575" i="2" s="1"/>
  <c r="AF573" i="2"/>
  <c r="AF572" i="2" s="1"/>
  <c r="AE573" i="2"/>
  <c r="AE572" i="2" s="1"/>
  <c r="AD573" i="2"/>
  <c r="AD572" i="2" s="1"/>
  <c r="AF570" i="2"/>
  <c r="AF569" i="2" s="1"/>
  <c r="AE570" i="2"/>
  <c r="AE569" i="2" s="1"/>
  <c r="AD570" i="2"/>
  <c r="AD569" i="2" s="1"/>
  <c r="AF566" i="2"/>
  <c r="AE566" i="2"/>
  <c r="AD566" i="2"/>
  <c r="AF565" i="2"/>
  <c r="AE565" i="2"/>
  <c r="AD565" i="2"/>
  <c r="AF563" i="2"/>
  <c r="AF562" i="2" s="1"/>
  <c r="AE563" i="2"/>
  <c r="AE562" i="2" s="1"/>
  <c r="AD563" i="2"/>
  <c r="AD562" i="2" s="1"/>
  <c r="AD879" i="2" l="1"/>
  <c r="AD568" i="2"/>
  <c r="AD561" i="2" s="1"/>
  <c r="AD554" i="2" s="1"/>
  <c r="AE587" i="2"/>
  <c r="AE586" i="2" s="1"/>
  <c r="AF587" i="2"/>
  <c r="AF586" i="2" s="1"/>
  <c r="AE568" i="2"/>
  <c r="AD587" i="2"/>
  <c r="AD586" i="2" s="1"/>
  <c r="AF568" i="2"/>
  <c r="AF561" i="2" l="1"/>
  <c r="AF554" i="2" s="1"/>
  <c r="AF553" i="2" s="1"/>
  <c r="AF552" i="2" s="1"/>
  <c r="AE561" i="2"/>
  <c r="AE554" i="2" s="1"/>
  <c r="AE553" i="2" s="1"/>
  <c r="AE552" i="2" s="1"/>
  <c r="AD553" i="2"/>
  <c r="AD552" i="2" s="1"/>
  <c r="F488" i="7" l="1"/>
  <c r="D303" i="9" s="1"/>
  <c r="H488" i="7"/>
  <c r="F781" i="9" l="1"/>
  <c r="F780" i="9" s="1"/>
  <c r="F779" i="9" s="1"/>
  <c r="E781" i="9"/>
  <c r="E780" i="9" s="1"/>
  <c r="E779" i="9" s="1"/>
  <c r="D781" i="9"/>
  <c r="D780" i="9" s="1"/>
  <c r="D779" i="9" s="1"/>
  <c r="F120" i="7" l="1"/>
  <c r="F119" i="7" s="1"/>
  <c r="J120" i="7"/>
  <c r="J119" i="7" s="1"/>
  <c r="H120" i="7"/>
  <c r="H119" i="7" s="1"/>
  <c r="D228" i="9"/>
  <c r="D227" i="9" s="1"/>
  <c r="H551" i="7"/>
  <c r="H550" i="7" s="1"/>
  <c r="E138" i="9"/>
  <c r="E137" i="9" s="1"/>
  <c r="E136" i="9" s="1"/>
  <c r="E135" i="9" s="1"/>
  <c r="F138" i="9"/>
  <c r="F137" i="9" s="1"/>
  <c r="F136" i="9" s="1"/>
  <c r="F135" i="9" s="1"/>
  <c r="F737" i="7"/>
  <c r="F736" i="7" s="1"/>
  <c r="D176" i="9"/>
  <c r="D175" i="9" s="1"/>
  <c r="D174" i="9" s="1"/>
  <c r="D188" i="9"/>
  <c r="D189" i="9"/>
  <c r="D190" i="9"/>
  <c r="D196" i="9"/>
  <c r="D195" i="9" s="1"/>
  <c r="D194" i="9" s="1"/>
  <c r="D199" i="9"/>
  <c r="D198" i="9" s="1"/>
  <c r="D197" i="9" s="1"/>
  <c r="D202" i="9"/>
  <c r="D201" i="9" s="1"/>
  <c r="D200" i="9" s="1"/>
  <c r="D205" i="9"/>
  <c r="D204" i="9" s="1"/>
  <c r="D203" i="9" s="1"/>
  <c r="D689" i="9"/>
  <c r="D688" i="9" s="1"/>
  <c r="D736" i="9"/>
  <c r="D735" i="9" s="1"/>
  <c r="D734" i="9" s="1"/>
  <c r="D741" i="9"/>
  <c r="D740" i="9" s="1"/>
  <c r="D739" i="9" s="1"/>
  <c r="D744" i="9"/>
  <c r="D743" i="9" s="1"/>
  <c r="D742" i="9" s="1"/>
  <c r="D674" i="9"/>
  <c r="D673" i="9" s="1"/>
  <c r="D669" i="9" s="1"/>
  <c r="D640" i="9"/>
  <c r="D639" i="9" s="1"/>
  <c r="D638" i="9" s="1"/>
  <c r="D637" i="9" s="1"/>
  <c r="F358" i="7"/>
  <c r="F332" i="7"/>
  <c r="D603" i="9" s="1"/>
  <c r="D602" i="9" s="1"/>
  <c r="D601" i="9" s="1"/>
  <c r="D600" i="9" s="1"/>
  <c r="D615" i="9"/>
  <c r="D614" i="9" s="1"/>
  <c r="D613" i="9" s="1"/>
  <c r="D604" i="9" s="1"/>
  <c r="F82" i="7"/>
  <c r="D561" i="9" s="1"/>
  <c r="F508" i="7"/>
  <c r="D565" i="9" s="1"/>
  <c r="D576" i="9"/>
  <c r="D575" i="9" s="1"/>
  <c r="D574" i="9" s="1"/>
  <c r="F235" i="7"/>
  <c r="F210" i="7"/>
  <c r="F209" i="7" s="1"/>
  <c r="F208" i="7" s="1"/>
  <c r="F207" i="7" s="1"/>
  <c r="F206" i="7" s="1"/>
  <c r="F205" i="7" s="1"/>
  <c r="D449" i="9"/>
  <c r="D448" i="9" s="1"/>
  <c r="F140" i="7"/>
  <c r="F142" i="7"/>
  <c r="D453" i="9" s="1"/>
  <c r="D452" i="9" s="1"/>
  <c r="F403" i="7"/>
  <c r="D458" i="9" s="1"/>
  <c r="D457" i="9" s="1"/>
  <c r="D456" i="9" s="1"/>
  <c r="F147" i="7"/>
  <c r="D469" i="9"/>
  <c r="D468" i="9" s="1"/>
  <c r="D467" i="9" s="1"/>
  <c r="D472" i="9"/>
  <c r="D471" i="9" s="1"/>
  <c r="D470" i="9" s="1"/>
  <c r="F22" i="7"/>
  <c r="F64" i="7"/>
  <c r="D491" i="9" s="1"/>
  <c r="F69" i="7"/>
  <c r="D496" i="9" s="1"/>
  <c r="D495" i="9" s="1"/>
  <c r="D494" i="9" s="1"/>
  <c r="F72" i="7"/>
  <c r="D499" i="9" s="1"/>
  <c r="D498" i="9" s="1"/>
  <c r="D497" i="9" s="1"/>
  <c r="F242" i="7"/>
  <c r="D512" i="9" s="1"/>
  <c r="D511" i="9" s="1"/>
  <c r="D510" i="9" s="1"/>
  <c r="F170" i="7"/>
  <c r="D518" i="9" s="1"/>
  <c r="D517" i="9" s="1"/>
  <c r="D516" i="9" s="1"/>
  <c r="D535" i="9"/>
  <c r="D534" i="9" s="1"/>
  <c r="D529" i="9" s="1"/>
  <c r="D539" i="9"/>
  <c r="D538" i="9" s="1"/>
  <c r="F193" i="7"/>
  <c r="D541" i="9" s="1"/>
  <c r="D540" i="9" s="1"/>
  <c r="F326" i="7"/>
  <c r="D551" i="9" s="1"/>
  <c r="D550" i="9" s="1"/>
  <c r="D549" i="9" s="1"/>
  <c r="F196" i="7"/>
  <c r="D544" i="9" s="1"/>
  <c r="D543" i="9" s="1"/>
  <c r="F198" i="7"/>
  <c r="D546" i="9" s="1"/>
  <c r="D545" i="9" s="1"/>
  <c r="D506" i="9"/>
  <c r="D505" i="9" s="1"/>
  <c r="D504" i="9" s="1"/>
  <c r="D509" i="9"/>
  <c r="D508" i="9" s="1"/>
  <c r="D507" i="9" s="1"/>
  <c r="D480" i="9"/>
  <c r="D479" i="9" s="1"/>
  <c r="D478" i="9" s="1"/>
  <c r="D477" i="9" s="1"/>
  <c r="D476" i="9" s="1"/>
  <c r="D367" i="9"/>
  <c r="D366" i="9" s="1"/>
  <c r="D365" i="9" s="1"/>
  <c r="D361" i="9" s="1"/>
  <c r="F766" i="7"/>
  <c r="D292" i="9" s="1"/>
  <c r="F303" i="7"/>
  <c r="D296" i="9" s="1"/>
  <c r="F299" i="7"/>
  <c r="F386" i="7"/>
  <c r="D302" i="9"/>
  <c r="D301" i="9" s="1"/>
  <c r="F491" i="7"/>
  <c r="D306" i="9" s="1"/>
  <c r="D305" i="9" s="1"/>
  <c r="F493" i="7"/>
  <c r="D308" i="9" s="1"/>
  <c r="D307" i="9" s="1"/>
  <c r="F389" i="7"/>
  <c r="F265" i="7"/>
  <c r="D318" i="9" s="1"/>
  <c r="D317" i="9" s="1"/>
  <c r="D316" i="9" s="1"/>
  <c r="F250" i="7"/>
  <c r="D329" i="9" s="1"/>
  <c r="D328" i="9" s="1"/>
  <c r="D327" i="9" s="1"/>
  <c r="D326" i="9" s="1"/>
  <c r="F276" i="7"/>
  <c r="D342" i="9" s="1"/>
  <c r="D341" i="9" s="1"/>
  <c r="D340" i="9" s="1"/>
  <c r="D339" i="9" s="1"/>
  <c r="F258" i="7"/>
  <c r="D337" i="9" s="1"/>
  <c r="D336" i="9" s="1"/>
  <c r="D335" i="9" s="1"/>
  <c r="D334" i="9" s="1"/>
  <c r="F290" i="7"/>
  <c r="D276" i="9"/>
  <c r="D251" i="9"/>
  <c r="D250" i="9" s="1"/>
  <c r="F903" i="7"/>
  <c r="F902" i="7" s="1"/>
  <c r="AD412" i="2"/>
  <c r="AD411" i="2" s="1"/>
  <c r="D231" i="9"/>
  <c r="D230" i="9" s="1"/>
  <c r="D229" i="9" s="1"/>
  <c r="F952" i="7"/>
  <c r="D246" i="9" s="1"/>
  <c r="F53" i="7"/>
  <c r="F55" i="7"/>
  <c r="F54" i="7" s="1"/>
  <c r="F834" i="7"/>
  <c r="D29" i="9" s="1"/>
  <c r="D28" i="9" s="1"/>
  <c r="D27" i="9" s="1"/>
  <c r="D26" i="9" s="1"/>
  <c r="D25" i="9" s="1"/>
  <c r="F843" i="7"/>
  <c r="F846" i="7"/>
  <c r="D63" i="9"/>
  <c r="D62" i="9" s="1"/>
  <c r="D61" i="9" s="1"/>
  <c r="D66" i="9"/>
  <c r="D65" i="9" s="1"/>
  <c r="D64" i="9" s="1"/>
  <c r="F721" i="7"/>
  <c r="D82" i="9" s="1"/>
  <c r="D81" i="9" s="1"/>
  <c r="D80" i="9" s="1"/>
  <c r="D79" i="9" s="1"/>
  <c r="D78" i="9" s="1"/>
  <c r="D755" i="9"/>
  <c r="D754" i="9" s="1"/>
  <c r="D753" i="9" s="1"/>
  <c r="D762" i="9"/>
  <c r="D761" i="9" s="1"/>
  <c r="D760" i="9" s="1"/>
  <c r="D765" i="9"/>
  <c r="D764" i="9" s="1"/>
  <c r="D763" i="9" s="1"/>
  <c r="D768" i="9"/>
  <c r="D767" i="9" s="1"/>
  <c r="D766" i="9" s="1"/>
  <c r="D772" i="9"/>
  <c r="D771" i="9" s="1"/>
  <c r="D770" i="9" s="1"/>
  <c r="D778" i="9"/>
  <c r="D777" i="9" s="1"/>
  <c r="D776" i="9" s="1"/>
  <c r="H901" i="7"/>
  <c r="H899" i="7" s="1"/>
  <c r="H898" i="7" s="1"/>
  <c r="H814" i="7"/>
  <c r="H952" i="7"/>
  <c r="H53" i="7"/>
  <c r="H55" i="7"/>
  <c r="J814" i="7"/>
  <c r="J952" i="7"/>
  <c r="J53" i="7"/>
  <c r="J55" i="7"/>
  <c r="H849" i="7"/>
  <c r="J602" i="7"/>
  <c r="J601" i="7" s="1"/>
  <c r="H594" i="7"/>
  <c r="H593" i="7" s="1"/>
  <c r="H602" i="7"/>
  <c r="H601" i="7" s="1"/>
  <c r="G528" i="7"/>
  <c r="G678" i="7"/>
  <c r="G677" i="7" s="1"/>
  <c r="G813" i="7"/>
  <c r="G812" i="7" s="1"/>
  <c r="H403" i="7"/>
  <c r="H537" i="7"/>
  <c r="H536" i="7" s="1"/>
  <c r="H532" i="7" s="1"/>
  <c r="H508" i="7"/>
  <c r="H507" i="7" s="1"/>
  <c r="H506" i="7" s="1"/>
  <c r="H505" i="7" s="1"/>
  <c r="H504" i="7" s="1"/>
  <c r="H503" i="7" s="1"/>
  <c r="H491" i="7"/>
  <c r="H490" i="7" s="1"/>
  <c r="H493" i="7"/>
  <c r="H492" i="7" s="1"/>
  <c r="H346" i="7"/>
  <c r="H345" i="7" s="1"/>
  <c r="H336" i="7" s="1"/>
  <c r="H358" i="7"/>
  <c r="H326" i="7"/>
  <c r="H325" i="7" s="1"/>
  <c r="H324" i="7" s="1"/>
  <c r="H323" i="7" s="1"/>
  <c r="H322" i="7" s="1"/>
  <c r="H321" i="7" s="1"/>
  <c r="H320" i="7" s="1"/>
  <c r="H332" i="7"/>
  <c r="H331" i="7" s="1"/>
  <c r="H330" i="7" s="1"/>
  <c r="H386" i="7"/>
  <c r="H385" i="7" s="1"/>
  <c r="H384" i="7" s="1"/>
  <c r="H389" i="7"/>
  <c r="I389" i="7" s="1"/>
  <c r="I388" i="7" s="1"/>
  <c r="I387" i="7" s="1"/>
  <c r="I383" i="7" s="1"/>
  <c r="I382" i="7" s="1"/>
  <c r="I381" i="7" s="1"/>
  <c r="I380" i="7" s="1"/>
  <c r="H371" i="7"/>
  <c r="H379" i="7"/>
  <c r="E640" i="9" s="1"/>
  <c r="H375" i="7"/>
  <c r="H374" i="7" s="1"/>
  <c r="H373" i="7" s="1"/>
  <c r="H372" i="7" s="1"/>
  <c r="H317" i="7"/>
  <c r="H314" i="7" s="1"/>
  <c r="E188" i="9"/>
  <c r="E189" i="9"/>
  <c r="E190" i="9"/>
  <c r="H721" i="7"/>
  <c r="E82" i="9" s="1"/>
  <c r="E81" i="9" s="1"/>
  <c r="E80" i="9" s="1"/>
  <c r="E79" i="9" s="1"/>
  <c r="E78" i="9" s="1"/>
  <c r="H766" i="7"/>
  <c r="H772" i="7"/>
  <c r="H771" i="7" s="1"/>
  <c r="H770" i="7" s="1"/>
  <c r="H793" i="7"/>
  <c r="H792" i="7" s="1"/>
  <c r="H796" i="7"/>
  <c r="H795" i="7" s="1"/>
  <c r="H799" i="7"/>
  <c r="H798" i="7" s="1"/>
  <c r="H843" i="7"/>
  <c r="H846" i="7"/>
  <c r="H845" i="7" s="1"/>
  <c r="H844" i="7" s="1"/>
  <c r="H834" i="7"/>
  <c r="H833" i="7" s="1"/>
  <c r="H832" i="7" s="1"/>
  <c r="H831" i="7" s="1"/>
  <c r="H830" i="7" s="1"/>
  <c r="H860" i="7"/>
  <c r="H857" i="7" s="1"/>
  <c r="H863" i="7"/>
  <c r="H862" i="7" s="1"/>
  <c r="H868" i="7"/>
  <c r="H867" i="7" s="1"/>
  <c r="H866" i="7" s="1"/>
  <c r="H871" i="7"/>
  <c r="H870" i="7" s="1"/>
  <c r="H869" i="7" s="1"/>
  <c r="H986" i="7"/>
  <c r="H960" i="7"/>
  <c r="E372" i="9"/>
  <c r="E371" i="9" s="1"/>
  <c r="E370" i="9" s="1"/>
  <c r="H250" i="7"/>
  <c r="H249" i="7" s="1"/>
  <c r="H248" i="7" s="1"/>
  <c r="H247" i="7" s="1"/>
  <c r="H258" i="7"/>
  <c r="E337" i="9" s="1"/>
  <c r="E336" i="9" s="1"/>
  <c r="E335" i="9" s="1"/>
  <c r="E334" i="9" s="1"/>
  <c r="H265" i="7"/>
  <c r="E318" i="9" s="1"/>
  <c r="E317" i="9" s="1"/>
  <c r="E316" i="9" s="1"/>
  <c r="E315" i="9" s="1"/>
  <c r="E314" i="9" s="1"/>
  <c r="H276" i="7"/>
  <c r="H290" i="7"/>
  <c r="H289" i="7" s="1"/>
  <c r="AE218" i="2"/>
  <c r="AE217" i="2" s="1"/>
  <c r="H299" i="7"/>
  <c r="E288" i="9" s="1"/>
  <c r="H303" i="7"/>
  <c r="E296" i="9" s="1"/>
  <c r="H235" i="7"/>
  <c r="I235" i="7" s="1"/>
  <c r="I234" i="7" s="1"/>
  <c r="I233" i="7" s="1"/>
  <c r="H242" i="7"/>
  <c r="H241" i="7" s="1"/>
  <c r="H240" i="7" s="1"/>
  <c r="H239" i="7" s="1"/>
  <c r="H238" i="7" s="1"/>
  <c r="H237" i="7" s="1"/>
  <c r="H236" i="7" s="1"/>
  <c r="E25" i="10" s="1"/>
  <c r="AE19" i="2"/>
  <c r="AE18" i="2" s="1"/>
  <c r="H32" i="7"/>
  <c r="H31" i="7" s="1"/>
  <c r="E758" i="9"/>
  <c r="E757" i="9" s="1"/>
  <c r="E756" i="9" s="1"/>
  <c r="H42" i="7"/>
  <c r="H41" i="7" s="1"/>
  <c r="H45" i="7"/>
  <c r="H44" i="7" s="1"/>
  <c r="H64" i="7"/>
  <c r="E491" i="9" s="1"/>
  <c r="H69" i="7"/>
  <c r="H68" i="7" s="1"/>
  <c r="H67" i="7" s="1"/>
  <c r="H72" i="7"/>
  <c r="H71" i="7" s="1"/>
  <c r="H70" i="7" s="1"/>
  <c r="H82" i="7"/>
  <c r="E561" i="9" s="1"/>
  <c r="H96" i="7"/>
  <c r="H95" i="7" s="1"/>
  <c r="E506" i="9"/>
  <c r="E505" i="9" s="1"/>
  <c r="E504" i="9" s="1"/>
  <c r="H102" i="7"/>
  <c r="H101" i="7" s="1"/>
  <c r="H114" i="7"/>
  <c r="H113" i="7" s="1"/>
  <c r="H117" i="7"/>
  <c r="H116" i="7" s="1"/>
  <c r="H142" i="7"/>
  <c r="H141" i="7" s="1"/>
  <c r="H140" i="7"/>
  <c r="H154" i="7"/>
  <c r="H153" i="7" s="1"/>
  <c r="H157" i="7"/>
  <c r="H156" i="7" s="1"/>
  <c r="H160" i="7"/>
  <c r="H159" i="7" s="1"/>
  <c r="H170" i="7"/>
  <c r="E518" i="9" s="1"/>
  <c r="E517" i="9" s="1"/>
  <c r="E516" i="9" s="1"/>
  <c r="H186" i="7"/>
  <c r="H181" i="7" s="1"/>
  <c r="H191" i="7"/>
  <c r="H190" i="7" s="1"/>
  <c r="H193" i="7"/>
  <c r="H192" i="7" s="1"/>
  <c r="H196" i="7"/>
  <c r="H195" i="7" s="1"/>
  <c r="H198" i="7"/>
  <c r="H197" i="7" s="1"/>
  <c r="H210" i="7"/>
  <c r="I848" i="7"/>
  <c r="I847" i="7" s="1"/>
  <c r="I840" i="7" s="1"/>
  <c r="I839" i="7" s="1"/>
  <c r="I824" i="7" s="1"/>
  <c r="I678" i="7"/>
  <c r="I677" i="7" s="1"/>
  <c r="I813" i="7"/>
  <c r="I812" i="7" s="1"/>
  <c r="J403" i="7"/>
  <c r="J402" i="7" s="1"/>
  <c r="J401" i="7" s="1"/>
  <c r="J400" i="7" s="1"/>
  <c r="J399" i="7" s="1"/>
  <c r="J398" i="7" s="1"/>
  <c r="J397" i="7" s="1"/>
  <c r="J548" i="7"/>
  <c r="J547" i="7" s="1"/>
  <c r="J508" i="7"/>
  <c r="J507" i="7" s="1"/>
  <c r="J506" i="7" s="1"/>
  <c r="J505" i="7" s="1"/>
  <c r="J504" i="7" s="1"/>
  <c r="J503" i="7" s="1"/>
  <c r="J488" i="7"/>
  <c r="J491" i="7"/>
  <c r="J490" i="7" s="1"/>
  <c r="J493" i="7"/>
  <c r="F308" i="9" s="1"/>
  <c r="F307" i="9" s="1"/>
  <c r="J793" i="7"/>
  <c r="J792" i="7" s="1"/>
  <c r="J799" i="7"/>
  <c r="J798" i="7" s="1"/>
  <c r="F178" i="9"/>
  <c r="F188" i="9"/>
  <c r="F189" i="9"/>
  <c r="F190" i="9"/>
  <c r="J721" i="7"/>
  <c r="F82" i="9" s="1"/>
  <c r="F81" i="9" s="1"/>
  <c r="F80" i="9" s="1"/>
  <c r="F79" i="9" s="1"/>
  <c r="F78" i="9" s="1"/>
  <c r="J766" i="7"/>
  <c r="F292" i="9" s="1"/>
  <c r="J772" i="7"/>
  <c r="J771" i="7" s="1"/>
  <c r="J770" i="7" s="1"/>
  <c r="J986" i="7"/>
  <c r="J960" i="7"/>
  <c r="K926" i="7"/>
  <c r="J923" i="7"/>
  <c r="J834" i="7"/>
  <c r="J833" i="7" s="1"/>
  <c r="J832" i="7" s="1"/>
  <c r="J831" i="7" s="1"/>
  <c r="J830" i="7" s="1"/>
  <c r="J843" i="7"/>
  <c r="J842" i="7" s="1"/>
  <c r="J841" i="7" s="1"/>
  <c r="J846" i="7"/>
  <c r="J849" i="7"/>
  <c r="J848" i="7" s="1"/>
  <c r="J847" i="7" s="1"/>
  <c r="J860" i="7"/>
  <c r="J857" i="7" s="1"/>
  <c r="J863" i="7"/>
  <c r="J862" i="7" s="1"/>
  <c r="J868" i="7"/>
  <c r="J867" i="7" s="1"/>
  <c r="J866" i="7" s="1"/>
  <c r="J871" i="7"/>
  <c r="J870" i="7" s="1"/>
  <c r="J869" i="7" s="1"/>
  <c r="J326" i="7"/>
  <c r="J325" i="7" s="1"/>
  <c r="J324" i="7" s="1"/>
  <c r="J323" i="7" s="1"/>
  <c r="J322" i="7" s="1"/>
  <c r="J321" i="7" s="1"/>
  <c r="J320" i="7" s="1"/>
  <c r="J333" i="7"/>
  <c r="J332" i="7" s="1"/>
  <c r="J386" i="7"/>
  <c r="J389" i="7"/>
  <c r="K389" i="7" s="1"/>
  <c r="K388" i="7" s="1"/>
  <c r="K387" i="7" s="1"/>
  <c r="K383" i="7" s="1"/>
  <c r="K382" i="7" s="1"/>
  <c r="K381" i="7" s="1"/>
  <c r="K380" i="7" s="1"/>
  <c r="J346" i="7"/>
  <c r="J345" i="7" s="1"/>
  <c r="J336" i="7" s="1"/>
  <c r="J358" i="7"/>
  <c r="J371" i="7"/>
  <c r="J379" i="7"/>
  <c r="J375" i="7"/>
  <c r="J317" i="7"/>
  <c r="J314" i="7" s="1"/>
  <c r="J250" i="7"/>
  <c r="J249" i="7" s="1"/>
  <c r="J248" i="7" s="1"/>
  <c r="J247" i="7" s="1"/>
  <c r="J258" i="7"/>
  <c r="F337" i="9" s="1"/>
  <c r="F336" i="9" s="1"/>
  <c r="F335" i="9" s="1"/>
  <c r="F334" i="9" s="1"/>
  <c r="J265" i="7"/>
  <c r="J276" i="7"/>
  <c r="J275" i="7" s="1"/>
  <c r="J274" i="7" s="1"/>
  <c r="J290" i="7"/>
  <c r="J299" i="7"/>
  <c r="F288" i="9" s="1"/>
  <c r="J303" i="7"/>
  <c r="F296" i="9" s="1"/>
  <c r="J235" i="7"/>
  <c r="F592" i="9" s="1"/>
  <c r="F591" i="9" s="1"/>
  <c r="F590" i="9" s="1"/>
  <c r="J242" i="7"/>
  <c r="J241" i="7" s="1"/>
  <c r="J240" i="7" s="1"/>
  <c r="J239" i="7" s="1"/>
  <c r="J238" i="7" s="1"/>
  <c r="J237" i="7" s="1"/>
  <c r="J236" i="7" s="1"/>
  <c r="F25" i="10" s="1"/>
  <c r="J22" i="7"/>
  <c r="J21" i="7" s="1"/>
  <c r="J20" i="7" s="1"/>
  <c r="J19" i="7" s="1"/>
  <c r="J18" i="7" s="1"/>
  <c r="J17" i="7" s="1"/>
  <c r="J16" i="7" s="1"/>
  <c r="J32" i="7"/>
  <c r="J31" i="7" s="1"/>
  <c r="J34" i="7"/>
  <c r="J39" i="7"/>
  <c r="J38" i="7" s="1"/>
  <c r="J64" i="7"/>
  <c r="F491" i="9" s="1"/>
  <c r="J69" i="7"/>
  <c r="J72" i="7"/>
  <c r="J71" i="7" s="1"/>
  <c r="J70" i="7" s="1"/>
  <c r="J82" i="7"/>
  <c r="J96" i="7"/>
  <c r="J95" i="7" s="1"/>
  <c r="F506" i="9"/>
  <c r="F505" i="9" s="1"/>
  <c r="F504" i="9" s="1"/>
  <c r="J102" i="7"/>
  <c r="J101" i="7" s="1"/>
  <c r="J111" i="7"/>
  <c r="J110" i="7" s="1"/>
  <c r="J117" i="7"/>
  <c r="J116" i="7" s="1"/>
  <c r="J142" i="7"/>
  <c r="F453" i="9" s="1"/>
  <c r="F452" i="9" s="1"/>
  <c r="J140" i="7"/>
  <c r="F464" i="9"/>
  <c r="F463" i="9" s="1"/>
  <c r="J154" i="7"/>
  <c r="J153" i="7" s="1"/>
  <c r="J157" i="7"/>
  <c r="J156" i="7" s="1"/>
  <c r="J170" i="7"/>
  <c r="J169" i="7" s="1"/>
  <c r="J168" i="7" s="1"/>
  <c r="J192" i="7"/>
  <c r="J196" i="7"/>
  <c r="J195" i="7" s="1"/>
  <c r="J198" i="7"/>
  <c r="J197" i="7" s="1"/>
  <c r="AF132" i="2"/>
  <c r="AF131" i="2" s="1"/>
  <c r="AF130" i="2" s="1"/>
  <c r="K813" i="7"/>
  <c r="K812" i="7" s="1"/>
  <c r="J210" i="7"/>
  <c r="K210" i="7" s="1"/>
  <c r="K209" i="7" s="1"/>
  <c r="K208" i="7" s="1"/>
  <c r="K207" i="7" s="1"/>
  <c r="G848" i="7"/>
  <c r="G847" i="7" s="1"/>
  <c r="G840" i="7" s="1"/>
  <c r="G839" i="7" s="1"/>
  <c r="G824" i="7" s="1"/>
  <c r="AE436" i="2"/>
  <c r="AE435" i="2" s="1"/>
  <c r="AE439" i="2"/>
  <c r="AE438" i="2" s="1"/>
  <c r="AF436" i="2"/>
  <c r="AF435" i="2" s="1"/>
  <c r="AF439" i="2"/>
  <c r="AF438" i="2" s="1"/>
  <c r="AD436" i="2"/>
  <c r="AD435" i="2" s="1"/>
  <c r="AD439" i="2"/>
  <c r="AD438" i="2" s="1"/>
  <c r="G936" i="7"/>
  <c r="G935" i="7" s="1"/>
  <c r="G931" i="7" s="1"/>
  <c r="I936" i="7"/>
  <c r="I935" i="7" s="1"/>
  <c r="I931" i="7" s="1"/>
  <c r="K936" i="7"/>
  <c r="K935" i="7" s="1"/>
  <c r="K931" i="7" s="1"/>
  <c r="AF261" i="2"/>
  <c r="AF260" i="2" s="1"/>
  <c r="AF259" i="2" s="1"/>
  <c r="AF120" i="2"/>
  <c r="AF117" i="2" s="1"/>
  <c r="AF111" i="2" s="1"/>
  <c r="AE120" i="2"/>
  <c r="AE118" i="2"/>
  <c r="AD118" i="2"/>
  <c r="AD117" i="2" s="1"/>
  <c r="AD111" i="2" s="1"/>
  <c r="F746" i="7"/>
  <c r="E176" i="9"/>
  <c r="E175" i="9" s="1"/>
  <c r="E174" i="9" s="1"/>
  <c r="AE368" i="2"/>
  <c r="AE367" i="2" s="1"/>
  <c r="AE366" i="2" s="1"/>
  <c r="AF368" i="2"/>
  <c r="AF367" i="2" s="1"/>
  <c r="AF366" i="2" s="1"/>
  <c r="AD368" i="2"/>
  <c r="AD367" i="2" s="1"/>
  <c r="AD366" i="2" s="1"/>
  <c r="AD365" i="2" s="1"/>
  <c r="AF265" i="2"/>
  <c r="AF264" i="2" s="1"/>
  <c r="AF263" i="2" s="1"/>
  <c r="AD257" i="2"/>
  <c r="AD256" i="2" s="1"/>
  <c r="AD255" i="2" s="1"/>
  <c r="AF257" i="2"/>
  <c r="AF256" i="2" s="1"/>
  <c r="AF255" i="2" s="1"/>
  <c r="J193" i="7"/>
  <c r="F541" i="9" s="1"/>
  <c r="F540" i="9" s="1"/>
  <c r="J191" i="7"/>
  <c r="F539" i="9" s="1"/>
  <c r="F538" i="9" s="1"/>
  <c r="I820" i="7"/>
  <c r="I819" i="7" s="1"/>
  <c r="H333" i="7"/>
  <c r="H22" i="7"/>
  <c r="H21" i="7" s="1"/>
  <c r="F871" i="7"/>
  <c r="F870" i="7" s="1"/>
  <c r="F869" i="7" s="1"/>
  <c r="F868" i="7"/>
  <c r="F867" i="7" s="1"/>
  <c r="F866" i="7" s="1"/>
  <c r="F333" i="7"/>
  <c r="F66" i="9"/>
  <c r="F65" i="9" s="1"/>
  <c r="F64" i="9" s="1"/>
  <c r="F63" i="9"/>
  <c r="F62" i="9" s="1"/>
  <c r="F61" i="9" s="1"/>
  <c r="AF550" i="2"/>
  <c r="AF549" i="2" s="1"/>
  <c r="AF548" i="2" s="1"/>
  <c r="AF547" i="2" s="1"/>
  <c r="AF520" i="2"/>
  <c r="AF519" i="2" s="1"/>
  <c r="AF498" i="2"/>
  <c r="AF497" i="2" s="1"/>
  <c r="AF496" i="2" s="1"/>
  <c r="AF464" i="2"/>
  <c r="AF463" i="2" s="1"/>
  <c r="AF461" i="2"/>
  <c r="AF460" i="2" s="1"/>
  <c r="AF427" i="2"/>
  <c r="AF426" i="2" s="1"/>
  <c r="AF425" i="2" s="1"/>
  <c r="AF424" i="2" s="1"/>
  <c r="AF392" i="2"/>
  <c r="AF391" i="2" s="1"/>
  <c r="AF386" i="2"/>
  <c r="AF385" i="2" s="1"/>
  <c r="AF384" i="2" s="1"/>
  <c r="AF383" i="2" s="1"/>
  <c r="AF352" i="2"/>
  <c r="AF351" i="2" s="1"/>
  <c r="AF344" i="2" s="1"/>
  <c r="AF329" i="2"/>
  <c r="AF328" i="2" s="1"/>
  <c r="AF327" i="2" s="1"/>
  <c r="AF326" i="2" s="1"/>
  <c r="AF325" i="2" s="1"/>
  <c r="AF314" i="2"/>
  <c r="AF312" i="2"/>
  <c r="AF309" i="2"/>
  <c r="AF308" i="2" s="1"/>
  <c r="AF289" i="2"/>
  <c r="AF288" i="2" s="1"/>
  <c r="AF287" i="2" s="1"/>
  <c r="AF286" i="2" s="1"/>
  <c r="AF285" i="2" s="1"/>
  <c r="AF275" i="2"/>
  <c r="AF274" i="2" s="1"/>
  <c r="AF272" i="2"/>
  <c r="AF271" i="2" s="1"/>
  <c r="AF250" i="2"/>
  <c r="AF249" i="2" s="1"/>
  <c r="AF248" i="2" s="1"/>
  <c r="AF247" i="2" s="1"/>
  <c r="AF246" i="2" s="1"/>
  <c r="AF243" i="2"/>
  <c r="AF236" i="2"/>
  <c r="AF235" i="2" s="1"/>
  <c r="AF234" i="2" s="1"/>
  <c r="AF233" i="2" s="1"/>
  <c r="AF232" i="2" s="1"/>
  <c r="AF231" i="2" s="1"/>
  <c r="AF222" i="2"/>
  <c r="AF221" i="2" s="1"/>
  <c r="AF220" i="2" s="1"/>
  <c r="AF218" i="2"/>
  <c r="AF217" i="2" s="1"/>
  <c r="AF209" i="2"/>
  <c r="AF177" i="2"/>
  <c r="AF176" i="2" s="1"/>
  <c r="AF175" i="2" s="1"/>
  <c r="AF169" i="2"/>
  <c r="AF168" i="2" s="1"/>
  <c r="AF167" i="2" s="1"/>
  <c r="AF184" i="2"/>
  <c r="AF183" i="2" s="1"/>
  <c r="AF182" i="2" s="1"/>
  <c r="AF181" i="2" s="1"/>
  <c r="AF161" i="2"/>
  <c r="AF160" i="2" s="1"/>
  <c r="AF159" i="2" s="1"/>
  <c r="AF158" i="2" s="1"/>
  <c r="AF157" i="2" s="1"/>
  <c r="AF156" i="2" s="1"/>
  <c r="AF154" i="2"/>
  <c r="AF153" i="2" s="1"/>
  <c r="AF99" i="2"/>
  <c r="AF97" i="2"/>
  <c r="AF94" i="2"/>
  <c r="AF93" i="2"/>
  <c r="AF83" i="2"/>
  <c r="AF78" i="2" s="1"/>
  <c r="AF55" i="2"/>
  <c r="AF54" i="2" s="1"/>
  <c r="AF53" i="2" s="1"/>
  <c r="AF52" i="2" s="1"/>
  <c r="AF51" i="2" s="1"/>
  <c r="AF45" i="2"/>
  <c r="AF44" i="2" s="1"/>
  <c r="AF42" i="2"/>
  <c r="AF41" i="2" s="1"/>
  <c r="AF28" i="2"/>
  <c r="AF26" i="2"/>
  <c r="AF19" i="2"/>
  <c r="AF18" i="2" s="1"/>
  <c r="AF17" i="2" s="1"/>
  <c r="AF16" i="2" s="1"/>
  <c r="AF15" i="2" s="1"/>
  <c r="AF14" i="2" s="1"/>
  <c r="E66" i="9"/>
  <c r="E65" i="9" s="1"/>
  <c r="E64" i="9" s="1"/>
  <c r="E63" i="9"/>
  <c r="E62" i="9" s="1"/>
  <c r="E61" i="9" s="1"/>
  <c r="E868" i="7"/>
  <c r="E870" i="7"/>
  <c r="E871" i="7"/>
  <c r="E867" i="7"/>
  <c r="B867" i="7"/>
  <c r="C867" i="7"/>
  <c r="B868" i="7"/>
  <c r="C868" i="7"/>
  <c r="B869" i="7"/>
  <c r="C869" i="7"/>
  <c r="B870" i="7"/>
  <c r="C870" i="7"/>
  <c r="B871" i="7"/>
  <c r="C871" i="7"/>
  <c r="C866" i="7"/>
  <c r="B866" i="7"/>
  <c r="A62" i="9"/>
  <c r="A63" i="9"/>
  <c r="A64" i="9"/>
  <c r="A65" i="9"/>
  <c r="A66" i="9"/>
  <c r="A61" i="9"/>
  <c r="AD461" i="2"/>
  <c r="AD460" i="2" s="1"/>
  <c r="AE461" i="2"/>
  <c r="AE460" i="2" s="1"/>
  <c r="AD464" i="2"/>
  <c r="AD463" i="2" s="1"/>
  <c r="AE464" i="2"/>
  <c r="AE463" i="2" s="1"/>
  <c r="AE275" i="2"/>
  <c r="AE274" i="2" s="1"/>
  <c r="AD275" i="2"/>
  <c r="AD274" i="2" s="1"/>
  <c r="AE83" i="2"/>
  <c r="AE78" i="2" s="1"/>
  <c r="AD83" i="2"/>
  <c r="AD78" i="2" s="1"/>
  <c r="G820" i="7"/>
  <c r="G819" i="7" s="1"/>
  <c r="AE550" i="2"/>
  <c r="AE549" i="2" s="1"/>
  <c r="AE520" i="2"/>
  <c r="AE519" i="2" s="1"/>
  <c r="AE515" i="2" s="1"/>
  <c r="AE427" i="2"/>
  <c r="AE426" i="2" s="1"/>
  <c r="AE425" i="2" s="1"/>
  <c r="AE424" i="2" s="1"/>
  <c r="AE392" i="2"/>
  <c r="AE391" i="2" s="1"/>
  <c r="AE386" i="2"/>
  <c r="AE385" i="2" s="1"/>
  <c r="AE384" i="2" s="1"/>
  <c r="AE383" i="2" s="1"/>
  <c r="AE352" i="2"/>
  <c r="AE351" i="2" s="1"/>
  <c r="AE344" i="2" s="1"/>
  <c r="AE325" i="2"/>
  <c r="AE314" i="2"/>
  <c r="AE312" i="2"/>
  <c r="AE289" i="2"/>
  <c r="AE288" i="2" s="1"/>
  <c r="AE287" i="2" s="1"/>
  <c r="AE286" i="2" s="1"/>
  <c r="AE285" i="2" s="1"/>
  <c r="AE272" i="2"/>
  <c r="AE271" i="2" s="1"/>
  <c r="AE243" i="2"/>
  <c r="AE242" i="2" s="1"/>
  <c r="AE241" i="2" s="1"/>
  <c r="AE236" i="2"/>
  <c r="AE235" i="2" s="1"/>
  <c r="AE234" i="2" s="1"/>
  <c r="AE233" i="2" s="1"/>
  <c r="AE232" i="2" s="1"/>
  <c r="AE231" i="2" s="1"/>
  <c r="AE222" i="2"/>
  <c r="AE221" i="2" s="1"/>
  <c r="AE220" i="2" s="1"/>
  <c r="AE209" i="2"/>
  <c r="AE177" i="2"/>
  <c r="AE176" i="2" s="1"/>
  <c r="AE175" i="2" s="1"/>
  <c r="AE169" i="2"/>
  <c r="AE168" i="2" s="1"/>
  <c r="AE167" i="2" s="1"/>
  <c r="AE161" i="2"/>
  <c r="AE160" i="2" s="1"/>
  <c r="AE159" i="2" s="1"/>
  <c r="AE158" i="2" s="1"/>
  <c r="AE157" i="2" s="1"/>
  <c r="AE156" i="2" s="1"/>
  <c r="AE154" i="2"/>
  <c r="AE153" i="2" s="1"/>
  <c r="AE132" i="2"/>
  <c r="AE131" i="2" s="1"/>
  <c r="AE130" i="2" s="1"/>
  <c r="AE129" i="2" s="1"/>
  <c r="AE128" i="2" s="1"/>
  <c r="AE99" i="2"/>
  <c r="AE97" i="2"/>
  <c r="AE94" i="2"/>
  <c r="AE93" i="2"/>
  <c r="AE45" i="2"/>
  <c r="AE44" i="2" s="1"/>
  <c r="AE42" i="2"/>
  <c r="AE41" i="2" s="1"/>
  <c r="AE28" i="2"/>
  <c r="AE26" i="2"/>
  <c r="AD550" i="2"/>
  <c r="AD549" i="2" s="1"/>
  <c r="AD548" i="2" s="1"/>
  <c r="AD547" i="2" s="1"/>
  <c r="AD520" i="2"/>
  <c r="AD519" i="2" s="1"/>
  <c r="AD515" i="2" s="1"/>
  <c r="AD498" i="2"/>
  <c r="AD497" i="2" s="1"/>
  <c r="AD496" i="2" s="1"/>
  <c r="AD427" i="2"/>
  <c r="AD426" i="2" s="1"/>
  <c r="AD425" i="2" s="1"/>
  <c r="AD424" i="2" s="1"/>
  <c r="AD392" i="2"/>
  <c r="AD391" i="2" s="1"/>
  <c r="AD386" i="2"/>
  <c r="AD385" i="2" s="1"/>
  <c r="AD384" i="2" s="1"/>
  <c r="AD383" i="2" s="1"/>
  <c r="AD352" i="2"/>
  <c r="AD351" i="2" s="1"/>
  <c r="AD344" i="2" s="1"/>
  <c r="AD329" i="2"/>
  <c r="AD328" i="2" s="1"/>
  <c r="AD327" i="2" s="1"/>
  <c r="AD326" i="2" s="1"/>
  <c r="AD325" i="2" s="1"/>
  <c r="AD314" i="2"/>
  <c r="AD312" i="2"/>
  <c r="AD309" i="2"/>
  <c r="AD308" i="2" s="1"/>
  <c r="AD289" i="2"/>
  <c r="AD288" i="2" s="1"/>
  <c r="AD287" i="2" s="1"/>
  <c r="AD286" i="2" s="1"/>
  <c r="AD285" i="2" s="1"/>
  <c r="AD272" i="2"/>
  <c r="AD271" i="2" s="1"/>
  <c r="AD243" i="2"/>
  <c r="AD242" i="2" s="1"/>
  <c r="AD241" i="2" s="1"/>
  <c r="AD236" i="2"/>
  <c r="AD235" i="2" s="1"/>
  <c r="AD234" i="2" s="1"/>
  <c r="AD233" i="2" s="1"/>
  <c r="AD232" i="2" s="1"/>
  <c r="AD231" i="2" s="1"/>
  <c r="AD222" i="2"/>
  <c r="AD221" i="2" s="1"/>
  <c r="AD220" i="2" s="1"/>
  <c r="AD218" i="2"/>
  <c r="AD217" i="2" s="1"/>
  <c r="AD209" i="2"/>
  <c r="AD177" i="2"/>
  <c r="AD176" i="2" s="1"/>
  <c r="AD175" i="2" s="1"/>
  <c r="AD169" i="2"/>
  <c r="AD168" i="2" s="1"/>
  <c r="AD167" i="2" s="1"/>
  <c r="AD184" i="2"/>
  <c r="AD183" i="2" s="1"/>
  <c r="AD182" i="2" s="1"/>
  <c r="AD181" i="2" s="1"/>
  <c r="AD161" i="2"/>
  <c r="AD160" i="2" s="1"/>
  <c r="AD159" i="2" s="1"/>
  <c r="AD158" i="2" s="1"/>
  <c r="AD157" i="2" s="1"/>
  <c r="AD156" i="2" s="1"/>
  <c r="AD154" i="2"/>
  <c r="AD153" i="2" s="1"/>
  <c r="AD132" i="2"/>
  <c r="AD131" i="2" s="1"/>
  <c r="AD130" i="2" s="1"/>
  <c r="AD129" i="2" s="1"/>
  <c r="AD128" i="2" s="1"/>
  <c r="AD99" i="2"/>
  <c r="AD97" i="2"/>
  <c r="AD94" i="2"/>
  <c r="AD93" i="2"/>
  <c r="AD55" i="2"/>
  <c r="AD54" i="2" s="1"/>
  <c r="AD53" i="2" s="1"/>
  <c r="AD52" i="2" s="1"/>
  <c r="AD51" i="2" s="1"/>
  <c r="AD45" i="2"/>
  <c r="AD44" i="2" s="1"/>
  <c r="AD42" i="2"/>
  <c r="AD41" i="2" s="1"/>
  <c r="AD37" i="2"/>
  <c r="AD34" i="2" s="1"/>
  <c r="AD28" i="2"/>
  <c r="AD26" i="2"/>
  <c r="AD19" i="2"/>
  <c r="AD18" i="2" s="1"/>
  <c r="AD250" i="2"/>
  <c r="AD249" i="2" s="1"/>
  <c r="AD248" i="2" s="1"/>
  <c r="AD247" i="2" s="1"/>
  <c r="AD246" i="2" s="1"/>
  <c r="AE55" i="2"/>
  <c r="AE54" i="2" s="1"/>
  <c r="AE53" i="2" s="1"/>
  <c r="AE52" i="2" s="1"/>
  <c r="AE51" i="2" s="1"/>
  <c r="AE184" i="2"/>
  <c r="AE183" i="2" s="1"/>
  <c r="AE182" i="2" s="1"/>
  <c r="AE181" i="2" s="1"/>
  <c r="AE250" i="2"/>
  <c r="AE249" i="2" s="1"/>
  <c r="AE248" i="2" s="1"/>
  <c r="AE247" i="2" s="1"/>
  <c r="AE246" i="2" s="1"/>
  <c r="AE498" i="2"/>
  <c r="AE497" i="2" s="1"/>
  <c r="AE496" i="2" s="1"/>
  <c r="AE309" i="2"/>
  <c r="AE308" i="2" s="1"/>
  <c r="D160" i="7"/>
  <c r="D159" i="7" s="1"/>
  <c r="D157" i="7"/>
  <c r="D156" i="7" s="1"/>
  <c r="B508" i="9"/>
  <c r="B507" i="9" s="1"/>
  <c r="B505" i="9"/>
  <c r="B504" i="9" s="1"/>
  <c r="B474" i="9"/>
  <c r="B473" i="9" s="1"/>
  <c r="B471" i="9"/>
  <c r="B470" i="9" s="1"/>
  <c r="D102" i="7"/>
  <c r="D101" i="7" s="1"/>
  <c r="D99" i="7"/>
  <c r="D98" i="7" s="1"/>
  <c r="D626" i="9" l="1"/>
  <c r="D625" i="9" s="1"/>
  <c r="D624" i="9" s="1"/>
  <c r="D623" i="9" s="1"/>
  <c r="D622" i="9" s="1"/>
  <c r="J357" i="7"/>
  <c r="J356" i="7" s="1"/>
  <c r="J355" i="7" s="1"/>
  <c r="J354" i="7" s="1"/>
  <c r="H357" i="7"/>
  <c r="H356" i="7" s="1"/>
  <c r="H355" i="7" s="1"/>
  <c r="H354" i="7" s="1"/>
  <c r="F735" i="7"/>
  <c r="F734" i="7" s="1"/>
  <c r="AD311" i="2"/>
  <c r="AD307" i="2" s="1"/>
  <c r="AD306" i="2" s="1"/>
  <c r="AD305" i="2" s="1"/>
  <c r="AF311" i="2"/>
  <c r="AF307" i="2" s="1"/>
  <c r="AF306" i="2" s="1"/>
  <c r="AF305" i="2" s="1"/>
  <c r="D304" i="9"/>
  <c r="AE311" i="2"/>
  <c r="AE307" i="2" s="1"/>
  <c r="AE306" i="2" s="1"/>
  <c r="AE305" i="2" s="1"/>
  <c r="G527" i="7"/>
  <c r="G517" i="7" s="1"/>
  <c r="AF242" i="2"/>
  <c r="AF241" i="2" s="1"/>
  <c r="AF240" i="2" s="1"/>
  <c r="AF239" i="2" s="1"/>
  <c r="AF238" i="2" s="1"/>
  <c r="AF230" i="2" s="1"/>
  <c r="D542" i="9"/>
  <c r="J194" i="7"/>
  <c r="H194" i="7"/>
  <c r="AF96" i="2"/>
  <c r="AF92" i="2" s="1"/>
  <c r="AE96" i="2"/>
  <c r="AD96" i="2"/>
  <c r="AD92" i="2" s="1"/>
  <c r="J856" i="7"/>
  <c r="J855" i="7" s="1"/>
  <c r="H856" i="7"/>
  <c r="H855" i="7" s="1"/>
  <c r="H769" i="7"/>
  <c r="H768" i="7" s="1"/>
  <c r="H767" i="7" s="1"/>
  <c r="J769" i="7"/>
  <c r="J768" i="7" s="1"/>
  <c r="J767" i="7" s="1"/>
  <c r="AD364" i="2"/>
  <c r="AD363" i="2" s="1"/>
  <c r="AF365" i="2"/>
  <c r="AF364" i="2" s="1"/>
  <c r="AF363" i="2" s="1"/>
  <c r="AE365" i="2"/>
  <c r="AE364" i="2" s="1"/>
  <c r="AE363" i="2" s="1"/>
  <c r="D249" i="9"/>
  <c r="D248" i="9" s="1"/>
  <c r="D247" i="9" s="1"/>
  <c r="H848" i="7"/>
  <c r="H847" i="7" s="1"/>
  <c r="J335" i="7"/>
  <c r="E369" i="9"/>
  <c r="E368" i="9" s="1"/>
  <c r="D325" i="9"/>
  <c r="G823" i="7"/>
  <c r="G822" i="7" s="1"/>
  <c r="F246" i="9"/>
  <c r="F245" i="9" s="1"/>
  <c r="F244" i="9" s="1"/>
  <c r="F240" i="9" s="1"/>
  <c r="F239" i="9" s="1"/>
  <c r="E246" i="9"/>
  <c r="E245" i="9" s="1"/>
  <c r="E244" i="9" s="1"/>
  <c r="E240" i="9" s="1"/>
  <c r="E239" i="9" s="1"/>
  <c r="H288" i="7"/>
  <c r="H287" i="7" s="1"/>
  <c r="H286" i="7" s="1"/>
  <c r="AE208" i="2"/>
  <c r="AE207" i="2" s="1"/>
  <c r="AE206" i="2" s="1"/>
  <c r="AF208" i="2"/>
  <c r="AF207" i="2" s="1"/>
  <c r="AF206" i="2" s="1"/>
  <c r="AD208" i="2"/>
  <c r="AD207" i="2" s="1"/>
  <c r="AD206" i="2" s="1"/>
  <c r="F537" i="9"/>
  <c r="H489" i="7"/>
  <c r="AE117" i="2"/>
  <c r="AE111" i="2" s="1"/>
  <c r="H189" i="7"/>
  <c r="D537" i="9"/>
  <c r="E252" i="9"/>
  <c r="E251" i="9" s="1"/>
  <c r="E250" i="9" s="1"/>
  <c r="J959" i="7"/>
  <c r="J958" i="7" s="1"/>
  <c r="F252" i="9"/>
  <c r="F251" i="9" s="1"/>
  <c r="F250" i="9" s="1"/>
  <c r="F480" i="9"/>
  <c r="F479" i="9" s="1"/>
  <c r="F478" i="9" s="1"/>
  <c r="F477" i="9" s="1"/>
  <c r="F476" i="9" s="1"/>
  <c r="J985" i="7"/>
  <c r="E480" i="9"/>
  <c r="E479" i="9" s="1"/>
  <c r="E478" i="9" s="1"/>
  <c r="E477" i="9" s="1"/>
  <c r="E476" i="9" s="1"/>
  <c r="H985" i="7"/>
  <c r="AF517" i="2"/>
  <c r="AF516" i="2" s="1"/>
  <c r="AF515" i="2" s="1"/>
  <c r="AF514" i="2" s="1"/>
  <c r="AF513" i="2" s="1"/>
  <c r="AF512" i="2" s="1"/>
  <c r="J313" i="7"/>
  <c r="J312" i="7" s="1"/>
  <c r="J311" i="7" s="1"/>
  <c r="J310" i="7" s="1"/>
  <c r="F31" i="10" s="1"/>
  <c r="H313" i="7"/>
  <c r="H312" i="7" s="1"/>
  <c r="H311" i="7" s="1"/>
  <c r="H310" i="7" s="1"/>
  <c r="E31" i="10" s="1"/>
  <c r="AD410" i="2"/>
  <c r="AD152" i="2"/>
  <c r="AD151" i="2" s="1"/>
  <c r="AD150" i="2" s="1"/>
  <c r="AD149" i="2" s="1"/>
  <c r="AD148" i="2" s="1"/>
  <c r="I232" i="7"/>
  <c r="I231" i="7" s="1"/>
  <c r="I230" i="7" s="1"/>
  <c r="I229" i="7" s="1"/>
  <c r="I228" i="7" s="1"/>
  <c r="F589" i="9"/>
  <c r="AF152" i="2"/>
  <c r="AF151" i="2" s="1"/>
  <c r="AF150" i="2" s="1"/>
  <c r="AF149" i="2" s="1"/>
  <c r="AF148" i="2" s="1"/>
  <c r="AE152" i="2"/>
  <c r="AE151" i="2" s="1"/>
  <c r="AE150" i="2" s="1"/>
  <c r="AE149" i="2" s="1"/>
  <c r="AE148" i="2" s="1"/>
  <c r="AE166" i="2"/>
  <c r="AE165" i="2" s="1"/>
  <c r="AE164" i="2" s="1"/>
  <c r="H765" i="7"/>
  <c r="H764" i="7" s="1"/>
  <c r="H763" i="7" s="1"/>
  <c r="H762" i="7" s="1"/>
  <c r="H761" i="7" s="1"/>
  <c r="E292" i="9"/>
  <c r="E291" i="9" s="1"/>
  <c r="E290" i="9" s="1"/>
  <c r="E289" i="9" s="1"/>
  <c r="F765" i="7"/>
  <c r="F764" i="7" s="1"/>
  <c r="F763" i="7" s="1"/>
  <c r="F762" i="7" s="1"/>
  <c r="F761" i="7" s="1"/>
  <c r="D291" i="9"/>
  <c r="D290" i="9" s="1"/>
  <c r="D289" i="9" s="1"/>
  <c r="D288" i="9"/>
  <c r="D287" i="9" s="1"/>
  <c r="D286" i="9" s="1"/>
  <c r="D285" i="9" s="1"/>
  <c r="AF166" i="2"/>
  <c r="AF165" i="2" s="1"/>
  <c r="AF164" i="2" s="1"/>
  <c r="AD166" i="2"/>
  <c r="AD165" i="2" s="1"/>
  <c r="AD164" i="2" s="1"/>
  <c r="AD459" i="2"/>
  <c r="AD449" i="2" s="1"/>
  <c r="AD448" i="2" s="1"/>
  <c r="AF459" i="2"/>
  <c r="AE459" i="2"/>
  <c r="D193" i="9"/>
  <c r="D192" i="9" s="1"/>
  <c r="D191" i="9" s="1"/>
  <c r="D187" i="9"/>
  <c r="F234" i="7"/>
  <c r="F233" i="7" s="1"/>
  <c r="D592" i="9"/>
  <c r="D591" i="9" s="1"/>
  <c r="D590" i="9" s="1"/>
  <c r="E56" i="10"/>
  <c r="F81" i="7"/>
  <c r="F80" i="7" s="1"/>
  <c r="F79" i="7" s="1"/>
  <c r="F78" i="7" s="1"/>
  <c r="F77" i="7" s="1"/>
  <c r="D560" i="9"/>
  <c r="D559" i="9" s="1"/>
  <c r="D558" i="9" s="1"/>
  <c r="H81" i="7"/>
  <c r="H80" i="7" s="1"/>
  <c r="H79" i="7" s="1"/>
  <c r="H78" i="7" s="1"/>
  <c r="H77" i="7" s="1"/>
  <c r="AE193" i="2"/>
  <c r="AE192" i="2" s="1"/>
  <c r="AF193" i="2"/>
  <c r="AF192" i="2" s="1"/>
  <c r="J273" i="7"/>
  <c r="J272" i="7" s="1"/>
  <c r="AD193" i="2"/>
  <c r="AD192" i="2" s="1"/>
  <c r="J302" i="7"/>
  <c r="J301" i="7" s="1"/>
  <c r="J300" i="7" s="1"/>
  <c r="F295" i="9"/>
  <c r="F294" i="9" s="1"/>
  <c r="D295" i="9"/>
  <c r="D294" i="9" s="1"/>
  <c r="D490" i="9"/>
  <c r="D487" i="9" s="1"/>
  <c r="E451" i="9"/>
  <c r="E450" i="9" s="1"/>
  <c r="H139" i="7"/>
  <c r="F451" i="9"/>
  <c r="F450" i="9" s="1"/>
  <c r="J139" i="7"/>
  <c r="D451" i="9"/>
  <c r="F139" i="7"/>
  <c r="G930" i="7"/>
  <c r="K930" i="7"/>
  <c r="I930" i="7"/>
  <c r="D115" i="9"/>
  <c r="D114" i="9" s="1"/>
  <c r="H635" i="7"/>
  <c r="H634" i="7" s="1"/>
  <c r="K663" i="7"/>
  <c r="K662" i="7" s="1"/>
  <c r="K661" i="7" s="1"/>
  <c r="K650" i="7" s="1"/>
  <c r="F115" i="9"/>
  <c r="F114" i="9" s="1"/>
  <c r="J635" i="7"/>
  <c r="J634" i="7" s="1"/>
  <c r="I663" i="7"/>
  <c r="I662" i="7" s="1"/>
  <c r="I661" i="7" s="1"/>
  <c r="I650" i="7" s="1"/>
  <c r="E115" i="9"/>
  <c r="E114" i="9" s="1"/>
  <c r="G636" i="7"/>
  <c r="G635" i="7" s="1"/>
  <c r="G634" i="7" s="1"/>
  <c r="G626" i="7" s="1"/>
  <c r="G625" i="7" s="1"/>
  <c r="D338" i="9"/>
  <c r="AE343" i="2"/>
  <c r="AE337" i="2" s="1"/>
  <c r="AF343" i="2"/>
  <c r="AF337" i="2" s="1"/>
  <c r="J207" i="7"/>
  <c r="J206" i="7" s="1"/>
  <c r="J205" i="7" s="1"/>
  <c r="AF129" i="2"/>
  <c r="AF128" i="2" s="1"/>
  <c r="J765" i="7"/>
  <c r="J764" i="7" s="1"/>
  <c r="J763" i="7" s="1"/>
  <c r="J762" i="7" s="1"/>
  <c r="F291" i="9"/>
  <c r="F290" i="9" s="1"/>
  <c r="F289" i="9" s="1"/>
  <c r="K206" i="7"/>
  <c r="K205" i="7" s="1"/>
  <c r="AE442" i="2"/>
  <c r="AE441" i="2" s="1"/>
  <c r="AE434" i="2" s="1"/>
  <c r="AE433" i="2" s="1"/>
  <c r="J190" i="7"/>
  <c r="J189" i="7" s="1"/>
  <c r="AE390" i="2"/>
  <c r="AE389" i="2" s="1"/>
  <c r="AE388" i="2" s="1"/>
  <c r="AF25" i="2"/>
  <c r="AF24" i="2" s="1"/>
  <c r="AF23" i="2" s="1"/>
  <c r="AF22" i="2" s="1"/>
  <c r="E231" i="9"/>
  <c r="E230" i="9" s="1"/>
  <c r="E229" i="9" s="1"/>
  <c r="K811" i="7"/>
  <c r="K805" i="7" s="1"/>
  <c r="F594" i="7"/>
  <c r="F593" i="7" s="1"/>
  <c r="AF390" i="2"/>
  <c r="AF389" i="2" s="1"/>
  <c r="AF388" i="2" s="1"/>
  <c r="AE382" i="2"/>
  <c r="AD245" i="2"/>
  <c r="AF245" i="2"/>
  <c r="AE245" i="2"/>
  <c r="E626" i="9"/>
  <c r="E625" i="9" s="1"/>
  <c r="E624" i="9" s="1"/>
  <c r="E623" i="9" s="1"/>
  <c r="E622" i="9" s="1"/>
  <c r="E736" i="9"/>
  <c r="E735" i="9" s="1"/>
  <c r="E734" i="9" s="1"/>
  <c r="F325" i="7"/>
  <c r="F324" i="7" s="1"/>
  <c r="F323" i="7" s="1"/>
  <c r="F322" i="7" s="1"/>
  <c r="F321" i="7" s="1"/>
  <c r="F320" i="7" s="1"/>
  <c r="G811" i="7"/>
  <c r="G805" i="7" s="1"/>
  <c r="E56" i="9"/>
  <c r="E55" i="9" s="1"/>
  <c r="E52" i="9" s="1"/>
  <c r="E300" i="9"/>
  <c r="E299" i="9" s="1"/>
  <c r="E298" i="9" s="1"/>
  <c r="K676" i="7"/>
  <c r="K675" i="7" s="1"/>
  <c r="K674" i="7" s="1"/>
  <c r="K673" i="7" s="1"/>
  <c r="AF77" i="2"/>
  <c r="AF76" i="2" s="1"/>
  <c r="AD526" i="2"/>
  <c r="AD525" i="2" s="1"/>
  <c r="AD524" i="2" s="1"/>
  <c r="AD523" i="2" s="1"/>
  <c r="AE526" i="2"/>
  <c r="AE525" i="2" s="1"/>
  <c r="AE524" i="2" s="1"/>
  <c r="AE523" i="2" s="1"/>
  <c r="H903" i="7"/>
  <c r="H902" i="7" s="1"/>
  <c r="I811" i="7"/>
  <c r="I805" i="7" s="1"/>
  <c r="AD343" i="2"/>
  <c r="AD337" i="2" s="1"/>
  <c r="D177" i="9"/>
  <c r="F537" i="7"/>
  <c r="F536" i="7" s="1"/>
  <c r="F532" i="7" s="1"/>
  <c r="F264" i="7"/>
  <c r="F346" i="7"/>
  <c r="F345" i="7" s="1"/>
  <c r="F336" i="7" s="1"/>
  <c r="E496" i="9"/>
  <c r="E495" i="9" s="1"/>
  <c r="E494" i="9" s="1"/>
  <c r="F490" i="7"/>
  <c r="E469" i="9"/>
  <c r="E468" i="9" s="1"/>
  <c r="E467" i="9" s="1"/>
  <c r="F579" i="9"/>
  <c r="F257" i="7"/>
  <c r="F256" i="7" s="1"/>
  <c r="F255" i="7" s="1"/>
  <c r="E41" i="9"/>
  <c r="E40" i="9" s="1"/>
  <c r="E39" i="9" s="1"/>
  <c r="AD390" i="2"/>
  <c r="AD389" i="2" s="1"/>
  <c r="AD388" i="2" s="1"/>
  <c r="F487" i="7"/>
  <c r="F486" i="7" s="1"/>
  <c r="F241" i="7"/>
  <c r="F240" i="7" s="1"/>
  <c r="F239" i="7" s="1"/>
  <c r="F238" i="7" s="1"/>
  <c r="F237" i="7" s="1"/>
  <c r="F236" i="7" s="1"/>
  <c r="D25" i="10" s="1"/>
  <c r="AE25" i="2"/>
  <c r="AE24" i="2" s="1"/>
  <c r="AE23" i="2" s="1"/>
  <c r="AE22" i="2" s="1"/>
  <c r="F59" i="9"/>
  <c r="F58" i="9" s="1"/>
  <c r="F57" i="9" s="1"/>
  <c r="H951" i="7"/>
  <c r="H950" i="7" s="1"/>
  <c r="H946" i="7" s="1"/>
  <c r="F157" i="7"/>
  <c r="F156" i="7" s="1"/>
  <c r="E565" i="9"/>
  <c r="E564" i="9" s="1"/>
  <c r="E563" i="9" s="1"/>
  <c r="E562" i="9" s="1"/>
  <c r="F302" i="7"/>
  <c r="F301" i="7" s="1"/>
  <c r="F300" i="7" s="1"/>
  <c r="F925" i="7"/>
  <c r="K924" i="7"/>
  <c r="K923" i="7" s="1"/>
  <c r="J951" i="7"/>
  <c r="J950" i="7" s="1"/>
  <c r="J946" i="7" s="1"/>
  <c r="I676" i="7"/>
  <c r="I675" i="7" s="1"/>
  <c r="I674" i="7" s="1"/>
  <c r="I673" i="7" s="1"/>
  <c r="E541" i="9"/>
  <c r="E540" i="9" s="1"/>
  <c r="J675" i="7"/>
  <c r="J674" i="7" s="1"/>
  <c r="F548" i="7"/>
  <c r="F547" i="7" s="1"/>
  <c r="F68" i="7"/>
  <c r="F67" i="7" s="1"/>
  <c r="AE412" i="2"/>
  <c r="AE411" i="2" s="1"/>
  <c r="J662" i="7"/>
  <c r="J661" i="7" s="1"/>
  <c r="F635" i="7"/>
  <c r="F634" i="7" s="1"/>
  <c r="F192" i="7"/>
  <c r="F959" i="7"/>
  <c r="F958" i="7" s="1"/>
  <c r="F117" i="7"/>
  <c r="F116" i="7" s="1"/>
  <c r="AD77" i="2"/>
  <c r="AD76" i="2" s="1"/>
  <c r="F485" i="9"/>
  <c r="F484" i="9" s="1"/>
  <c r="F483" i="9" s="1"/>
  <c r="F249" i="7"/>
  <c r="F248" i="7" s="1"/>
  <c r="F247" i="7" s="1"/>
  <c r="G318" i="7"/>
  <c r="G317" i="7" s="1"/>
  <c r="G314" i="7" s="1"/>
  <c r="F317" i="7"/>
  <c r="F314" i="7" s="1"/>
  <c r="AF216" i="2"/>
  <c r="AF215" i="2" s="1"/>
  <c r="F197" i="7"/>
  <c r="J385" i="7"/>
  <c r="J384" i="7" s="1"/>
  <c r="F300" i="9"/>
  <c r="F299" i="9" s="1"/>
  <c r="F298" i="9" s="1"/>
  <c r="F849" i="7"/>
  <c r="AD442" i="2"/>
  <c r="AD441" i="2" s="1"/>
  <c r="D666" i="9"/>
  <c r="D665" i="9" s="1"/>
  <c r="AF526" i="2"/>
  <c r="AF525" i="2" s="1"/>
  <c r="AF524" i="2" s="1"/>
  <c r="AF523" i="2" s="1"/>
  <c r="D103" i="9"/>
  <c r="D102" i="9" s="1"/>
  <c r="D101" i="9" s="1"/>
  <c r="D100" i="9" s="1"/>
  <c r="F629" i="7"/>
  <c r="F628" i="7" s="1"/>
  <c r="F627" i="7" s="1"/>
  <c r="J537" i="7"/>
  <c r="J536" i="7" s="1"/>
  <c r="J532" i="7" s="1"/>
  <c r="D579" i="9"/>
  <c r="D573" i="9" s="1"/>
  <c r="D572" i="9" s="1"/>
  <c r="H678" i="7"/>
  <c r="H677" i="7" s="1"/>
  <c r="H737" i="7"/>
  <c r="H736" i="7" s="1"/>
  <c r="I737" i="7"/>
  <c r="I736" i="7" s="1"/>
  <c r="I735" i="7" s="1"/>
  <c r="AD25" i="2"/>
  <c r="AD24" i="2" s="1"/>
  <c r="AD23" i="2" s="1"/>
  <c r="AD22" i="2" s="1"/>
  <c r="AE270" i="2"/>
  <c r="AE269" i="2" s="1"/>
  <c r="AE268" i="2" s="1"/>
  <c r="AE267" i="2" s="1"/>
  <c r="E546" i="9"/>
  <c r="E545" i="9" s="1"/>
  <c r="AF442" i="2"/>
  <c r="AF441" i="2" s="1"/>
  <c r="AF434" i="2" s="1"/>
  <c r="AF433" i="2" s="1"/>
  <c r="H528" i="7"/>
  <c r="H527" i="7" s="1"/>
  <c r="H517" i="7" s="1"/>
  <c r="D224" i="9"/>
  <c r="D223" i="9" s="1"/>
  <c r="D222" i="9" s="1"/>
  <c r="D372" i="9"/>
  <c r="D371" i="9" s="1"/>
  <c r="D370" i="9" s="1"/>
  <c r="F941" i="7"/>
  <c r="F940" i="7" s="1"/>
  <c r="D485" i="9"/>
  <c r="D484" i="9" s="1"/>
  <c r="D483" i="9" s="1"/>
  <c r="F21" i="7"/>
  <c r="AD33" i="2"/>
  <c r="AD32" i="2" s="1"/>
  <c r="AD31" i="2" s="1"/>
  <c r="AD30" i="2" s="1"/>
  <c r="AD216" i="2"/>
  <c r="AD215" i="2" s="1"/>
  <c r="AD382" i="2"/>
  <c r="AE77" i="2"/>
  <c r="AE76" i="2" s="1"/>
  <c r="AE546" i="2"/>
  <c r="AE548" i="2"/>
  <c r="AE547" i="2" s="1"/>
  <c r="AE545" i="2"/>
  <c r="AE544" i="2" s="1"/>
  <c r="AE494" i="2"/>
  <c r="AE493" i="2" s="1"/>
  <c r="AE495" i="2"/>
  <c r="E579" i="9"/>
  <c r="F357" i="7"/>
  <c r="F356" i="7" s="1"/>
  <c r="F355" i="7" s="1"/>
  <c r="F354" i="7" s="1"/>
  <c r="E615" i="9"/>
  <c r="E614" i="9" s="1"/>
  <c r="E613" i="9" s="1"/>
  <c r="E604" i="9" s="1"/>
  <c r="E551" i="9"/>
  <c r="E550" i="9" s="1"/>
  <c r="E549" i="9" s="1"/>
  <c r="E306" i="9"/>
  <c r="E305" i="9" s="1"/>
  <c r="J208" i="7"/>
  <c r="F744" i="9"/>
  <c r="F743" i="9" s="1"/>
  <c r="F742" i="9" s="1"/>
  <c r="F720" i="7"/>
  <c r="F719" i="7" s="1"/>
  <c r="F718" i="7" s="1"/>
  <c r="F717" i="7" s="1"/>
  <c r="AD546" i="2"/>
  <c r="F154" i="7"/>
  <c r="F153" i="7" s="1"/>
  <c r="F793" i="7"/>
  <c r="F792" i="7" s="1"/>
  <c r="F771" i="7"/>
  <c r="F770" i="7" s="1"/>
  <c r="F99" i="7"/>
  <c r="AE514" i="2"/>
  <c r="AE513" i="2" s="1"/>
  <c r="AE512" i="2" s="1"/>
  <c r="E29" i="9"/>
  <c r="E28" i="9" s="1"/>
  <c r="E27" i="9" s="1"/>
  <c r="E26" i="9" s="1"/>
  <c r="E25" i="9" s="1"/>
  <c r="AE240" i="2"/>
  <c r="AE239" i="2" s="1"/>
  <c r="AE238" i="2" s="1"/>
  <c r="AE230" i="2" s="1"/>
  <c r="E205" i="9"/>
  <c r="E204" i="9" s="1"/>
  <c r="E203" i="9" s="1"/>
  <c r="F141" i="7"/>
  <c r="AF382" i="2"/>
  <c r="F758" i="9"/>
  <c r="F757" i="9" s="1"/>
  <c r="F756" i="9" s="1"/>
  <c r="I636" i="7"/>
  <c r="I635" i="7" s="1"/>
  <c r="I634" i="7" s="1"/>
  <c r="I626" i="7" s="1"/>
  <c r="I625" i="7" s="1"/>
  <c r="E646" i="9"/>
  <c r="F646" i="9"/>
  <c r="E539" i="9"/>
  <c r="E538" i="9" s="1"/>
  <c r="F778" i="9"/>
  <c r="F777" i="9" s="1"/>
  <c r="F776" i="9" s="1"/>
  <c r="F615" i="9"/>
  <c r="F614" i="9" s="1"/>
  <c r="F613" i="9" s="1"/>
  <c r="F604" i="9" s="1"/>
  <c r="F576" i="9"/>
  <c r="F575" i="9" s="1"/>
  <c r="F574" i="9" s="1"/>
  <c r="E485" i="9"/>
  <c r="E484" i="9" s="1"/>
  <c r="E483" i="9" s="1"/>
  <c r="E744" i="9"/>
  <c r="E743" i="9" s="1"/>
  <c r="E742" i="9" s="1"/>
  <c r="F512" i="9"/>
  <c r="F511" i="9" s="1"/>
  <c r="F510" i="9" s="1"/>
  <c r="F551" i="9"/>
  <c r="F550" i="9" s="1"/>
  <c r="F549" i="9" s="1"/>
  <c r="F29" i="9"/>
  <c r="F28" i="9" s="1"/>
  <c r="F27" i="9" s="1"/>
  <c r="F26" i="9" s="1"/>
  <c r="F25" i="9" s="1"/>
  <c r="F298" i="7"/>
  <c r="F297" i="7" s="1"/>
  <c r="F544" i="9"/>
  <c r="F543" i="9" s="1"/>
  <c r="F936" i="7"/>
  <c r="F935" i="7" s="1"/>
  <c r="F931" i="7" s="1"/>
  <c r="F44" i="9"/>
  <c r="F43" i="9" s="1"/>
  <c r="F42" i="9" s="1"/>
  <c r="J492" i="7"/>
  <c r="J489" i="7" s="1"/>
  <c r="E636" i="9"/>
  <c r="E635" i="9" s="1"/>
  <c r="E634" i="9" s="1"/>
  <c r="E633" i="9" s="1"/>
  <c r="F205" i="9"/>
  <c r="F204" i="9" s="1"/>
  <c r="F203" i="9" s="1"/>
  <c r="E356" i="9"/>
  <c r="E355" i="9" s="1"/>
  <c r="F599" i="7"/>
  <c r="F598" i="7" s="1"/>
  <c r="F98" i="7"/>
  <c r="F472" i="9"/>
  <c r="F471" i="9" s="1"/>
  <c r="F470" i="9" s="1"/>
  <c r="F42" i="7"/>
  <c r="F41" i="7" s="1"/>
  <c r="F820" i="7"/>
  <c r="F819" i="7" s="1"/>
  <c r="F190" i="7"/>
  <c r="F796" i="7"/>
  <c r="F795" i="7" s="1"/>
  <c r="E453" i="9"/>
  <c r="E452" i="9" s="1"/>
  <c r="F596" i="9"/>
  <c r="F595" i="9" s="1"/>
  <c r="F594" i="9" s="1"/>
  <c r="F593" i="9" s="1"/>
  <c r="F276" i="9"/>
  <c r="F626" i="9"/>
  <c r="F625" i="9" s="1"/>
  <c r="F624" i="9" s="1"/>
  <c r="F623" i="9" s="1"/>
  <c r="F622" i="9" s="1"/>
  <c r="F306" i="9"/>
  <c r="F305" i="9" s="1"/>
  <c r="F304" i="9" s="1"/>
  <c r="F342" i="9"/>
  <c r="F341" i="9" s="1"/>
  <c r="F340" i="9" s="1"/>
  <c r="F339" i="9" s="1"/>
  <c r="F275" i="7"/>
  <c r="F274" i="7" s="1"/>
  <c r="F195" i="7"/>
  <c r="H234" i="7"/>
  <c r="H233" i="7" s="1"/>
  <c r="H264" i="7"/>
  <c r="H959" i="7"/>
  <c r="H958" i="7" s="1"/>
  <c r="F602" i="7"/>
  <c r="F601" i="7" s="1"/>
  <c r="E499" i="9"/>
  <c r="E498" i="9" s="1"/>
  <c r="E497" i="9" s="1"/>
  <c r="F458" i="9"/>
  <c r="F457" i="9" s="1"/>
  <c r="F456" i="9" s="1"/>
  <c r="E544" i="9"/>
  <c r="E543" i="9" s="1"/>
  <c r="E44" i="9"/>
  <c r="E43" i="9" s="1"/>
  <c r="E42" i="9" s="1"/>
  <c r="J941" i="7"/>
  <c r="J940" i="7" s="1"/>
  <c r="J925" i="7"/>
  <c r="H865" i="7"/>
  <c r="H675" i="7"/>
  <c r="H674" i="7" s="1"/>
  <c r="AD254" i="2"/>
  <c r="AD253" i="2" s="1"/>
  <c r="AD252" i="2" s="1"/>
  <c r="J98" i="7"/>
  <c r="J99" i="7"/>
  <c r="H137" i="7"/>
  <c r="E449" i="9"/>
  <c r="E448" i="9" s="1"/>
  <c r="H111" i="7"/>
  <c r="H110" i="7" s="1"/>
  <c r="E772" i="9"/>
  <c r="E771" i="9" s="1"/>
  <c r="E770" i="9" s="1"/>
  <c r="H268" i="7"/>
  <c r="H267" i="7" s="1"/>
  <c r="E475" i="9"/>
  <c r="E474" i="9" s="1"/>
  <c r="E473" i="9" s="1"/>
  <c r="J186" i="7"/>
  <c r="J181" i="7" s="1"/>
  <c r="F535" i="9"/>
  <c r="F534" i="9" s="1"/>
  <c r="F529" i="9" s="1"/>
  <c r="E64" i="10"/>
  <c r="E63" i="10" s="1"/>
  <c r="H378" i="7"/>
  <c r="H377" i="7" s="1"/>
  <c r="H376" i="7" s="1"/>
  <c r="E639" i="9"/>
  <c r="E638" i="9" s="1"/>
  <c r="E637" i="9" s="1"/>
  <c r="H487" i="7"/>
  <c r="H486" i="7" s="1"/>
  <c r="E303" i="9"/>
  <c r="E302" i="9" s="1"/>
  <c r="E301" i="9" s="1"/>
  <c r="E741" i="9"/>
  <c r="E740" i="9" s="1"/>
  <c r="E739" i="9" s="1"/>
  <c r="H599" i="7"/>
  <c r="H598" i="7" s="1"/>
  <c r="F34" i="7"/>
  <c r="F35" i="7"/>
  <c r="D59" i="9"/>
  <c r="D58" i="9" s="1"/>
  <c r="D57" i="9" s="1"/>
  <c r="F863" i="7"/>
  <c r="F862" i="7" s="1"/>
  <c r="G389" i="7"/>
  <c r="G388" i="7" s="1"/>
  <c r="G387" i="7" s="1"/>
  <c r="G383" i="7" s="1"/>
  <c r="G382" i="7" s="1"/>
  <c r="G381" i="7" s="1"/>
  <c r="G380" i="7" s="1"/>
  <c r="F388" i="7"/>
  <c r="F387" i="7" s="1"/>
  <c r="D300" i="9"/>
  <c r="D299" i="9" s="1"/>
  <c r="D298" i="9" s="1"/>
  <c r="F385" i="7"/>
  <c r="F384" i="7" s="1"/>
  <c r="D503" i="9"/>
  <c r="D502" i="9" s="1"/>
  <c r="D501" i="9" s="1"/>
  <c r="F96" i="7"/>
  <c r="F95" i="7" s="1"/>
  <c r="D475" i="9"/>
  <c r="D474" i="9" s="1"/>
  <c r="D473" i="9" s="1"/>
  <c r="F160" i="7"/>
  <c r="F159" i="7" s="1"/>
  <c r="D464" i="9"/>
  <c r="D463" i="9" s="1"/>
  <c r="G150" i="7"/>
  <c r="G149" i="7" s="1"/>
  <c r="D596" i="9"/>
  <c r="D595" i="9" s="1"/>
  <c r="D594" i="9" s="1"/>
  <c r="D593" i="9" s="1"/>
  <c r="G210" i="7"/>
  <c r="G209" i="7" s="1"/>
  <c r="G208" i="7" s="1"/>
  <c r="G207" i="7" s="1"/>
  <c r="G206" i="7" s="1"/>
  <c r="G205" i="7" s="1"/>
  <c r="D564" i="9"/>
  <c r="D563" i="9" s="1"/>
  <c r="D562" i="9" s="1"/>
  <c r="F507" i="7"/>
  <c r="F506" i="7" s="1"/>
  <c r="F505" i="7" s="1"/>
  <c r="F504" i="7" s="1"/>
  <c r="F503" i="7" s="1"/>
  <c r="D113" i="9"/>
  <c r="D112" i="9" s="1"/>
  <c r="D111" i="9" s="1"/>
  <c r="F659" i="7"/>
  <c r="F658" i="7" s="1"/>
  <c r="E113" i="9"/>
  <c r="E112" i="9" s="1"/>
  <c r="E111" i="9" s="1"/>
  <c r="H659" i="7"/>
  <c r="H658" i="7" s="1"/>
  <c r="F693" i="9"/>
  <c r="F692" i="9" s="1"/>
  <c r="F691" i="9" s="1"/>
  <c r="J551" i="7"/>
  <c r="J550" i="7" s="1"/>
  <c r="J543" i="7" s="1"/>
  <c r="F690" i="9"/>
  <c r="F689" i="9" s="1"/>
  <c r="F688" i="9" s="1"/>
  <c r="J720" i="7"/>
  <c r="J719" i="7" s="1"/>
  <c r="J718" i="7" s="1"/>
  <c r="J717" i="7" s="1"/>
  <c r="H629" i="7"/>
  <c r="H628" i="7" s="1"/>
  <c r="H627" i="7" s="1"/>
  <c r="E103" i="9"/>
  <c r="E102" i="9" s="1"/>
  <c r="E101" i="9" s="1"/>
  <c r="E100" i="9" s="1"/>
  <c r="J42" i="7"/>
  <c r="J41" i="7" s="1"/>
  <c r="F765" i="9"/>
  <c r="F764" i="9" s="1"/>
  <c r="F763" i="9" s="1"/>
  <c r="J796" i="7"/>
  <c r="J795" i="7" s="1"/>
  <c r="F202" i="9"/>
  <c r="F201" i="9" s="1"/>
  <c r="F200" i="9" s="1"/>
  <c r="J487" i="7"/>
  <c r="J486" i="7" s="1"/>
  <c r="F303" i="9"/>
  <c r="F302" i="9" s="1"/>
  <c r="F301" i="9" s="1"/>
  <c r="H63" i="7"/>
  <c r="H60" i="7" s="1"/>
  <c r="E490" i="9"/>
  <c r="E487" i="9" s="1"/>
  <c r="H257" i="7"/>
  <c r="H256" i="7" s="1"/>
  <c r="H255" i="7" s="1"/>
  <c r="J52" i="7"/>
  <c r="K53" i="7"/>
  <c r="K52" i="7" s="1"/>
  <c r="H335" i="7"/>
  <c r="F71" i="7"/>
  <c r="F70" i="7" s="1"/>
  <c r="F149" i="7"/>
  <c r="F469" i="9"/>
  <c r="F468" i="9" s="1"/>
  <c r="F467" i="9" s="1"/>
  <c r="J257" i="7"/>
  <c r="J256" i="7" s="1"/>
  <c r="J255" i="7" s="1"/>
  <c r="J246" i="7" s="1"/>
  <c r="D713" i="9"/>
  <c r="D712" i="9" s="1"/>
  <c r="E509" i="9"/>
  <c r="E508" i="9" s="1"/>
  <c r="E507" i="9" s="1"/>
  <c r="E472" i="9"/>
  <c r="E471" i="9" s="1"/>
  <c r="E470" i="9" s="1"/>
  <c r="J209" i="7"/>
  <c r="F199" i="9"/>
  <c r="F198" i="9" s="1"/>
  <c r="F197" i="9" s="1"/>
  <c r="G942" i="7"/>
  <c r="G941" i="7" s="1"/>
  <c r="G940" i="7" s="1"/>
  <c r="F32" i="7"/>
  <c r="F31" i="7" s="1"/>
  <c r="F186" i="7"/>
  <c r="F181" i="7" s="1"/>
  <c r="E59" i="9"/>
  <c r="E58" i="9" s="1"/>
  <c r="E57" i="9" s="1"/>
  <c r="G926" i="7"/>
  <c r="F45" i="7"/>
  <c r="F44" i="7" s="1"/>
  <c r="J35" i="7"/>
  <c r="F102" i="7"/>
  <c r="F101" i="7" s="1"/>
  <c r="E60" i="9"/>
  <c r="E177" i="9"/>
  <c r="D275" i="9"/>
  <c r="J378" i="7"/>
  <c r="J377" i="7" s="1"/>
  <c r="J376" i="7" s="1"/>
  <c r="F640" i="9"/>
  <c r="F639" i="9" s="1"/>
  <c r="F638" i="9" s="1"/>
  <c r="F637" i="9" s="1"/>
  <c r="H275" i="7"/>
  <c r="H274" i="7" s="1"/>
  <c r="E342" i="9"/>
  <c r="E341" i="9" s="1"/>
  <c r="E340" i="9" s="1"/>
  <c r="E339" i="9" s="1"/>
  <c r="J599" i="7"/>
  <c r="J598" i="7" s="1"/>
  <c r="F741" i="9"/>
  <c r="F740" i="9" s="1"/>
  <c r="F739" i="9" s="1"/>
  <c r="E238" i="9"/>
  <c r="E237" i="9" s="1"/>
  <c r="I55" i="7"/>
  <c r="I54" i="7" s="1"/>
  <c r="H54" i="7"/>
  <c r="J678" i="7"/>
  <c r="J677" i="7" s="1"/>
  <c r="F113" i="9"/>
  <c r="F112" i="9" s="1"/>
  <c r="F111" i="9" s="1"/>
  <c r="J659" i="7"/>
  <c r="J658" i="7" s="1"/>
  <c r="H900" i="7"/>
  <c r="J298" i="7"/>
  <c r="J297" i="7" s="1"/>
  <c r="F287" i="9"/>
  <c r="F286" i="9" s="1"/>
  <c r="K925" i="7"/>
  <c r="E713" i="9"/>
  <c r="E712" i="9" s="1"/>
  <c r="F238" i="9"/>
  <c r="F237" i="9" s="1"/>
  <c r="K55" i="7"/>
  <c r="K54" i="7" s="1"/>
  <c r="J54" i="7"/>
  <c r="D356" i="9"/>
  <c r="D355" i="9" s="1"/>
  <c r="F289" i="7"/>
  <c r="D110" i="9"/>
  <c r="D109" i="9" s="1"/>
  <c r="D108" i="9" s="1"/>
  <c r="F656" i="7"/>
  <c r="F655" i="7" s="1"/>
  <c r="F492" i="7"/>
  <c r="F402" i="7"/>
  <c r="F401" i="7" s="1"/>
  <c r="F400" i="7" s="1"/>
  <c r="F399" i="7" s="1"/>
  <c r="F398" i="7" s="1"/>
  <c r="F397" i="7" s="1"/>
  <c r="F39" i="7"/>
  <c r="F38" i="7" s="1"/>
  <c r="E592" i="9"/>
  <c r="E591" i="9" s="1"/>
  <c r="E590" i="9" s="1"/>
  <c r="E503" i="9"/>
  <c r="E502" i="9" s="1"/>
  <c r="E501" i="9" s="1"/>
  <c r="F518" i="9"/>
  <c r="F517" i="9" s="1"/>
  <c r="F516" i="9" s="1"/>
  <c r="F565" i="9"/>
  <c r="F564" i="9" s="1"/>
  <c r="F563" i="9" s="1"/>
  <c r="F562" i="9" s="1"/>
  <c r="F372" i="9"/>
  <c r="F371" i="9" s="1"/>
  <c r="F370" i="9" s="1"/>
  <c r="F817" i="7"/>
  <c r="F713" i="9"/>
  <c r="F712" i="9" s="1"/>
  <c r="H720" i="7"/>
  <c r="H719" i="7" s="1"/>
  <c r="H718" i="7" s="1"/>
  <c r="H717" i="7" s="1"/>
  <c r="H329" i="7"/>
  <c r="H328" i="7" s="1"/>
  <c r="H327" i="7" s="1"/>
  <c r="H319" i="7" s="1"/>
  <c r="G924" i="7"/>
  <c r="G923" i="7" s="1"/>
  <c r="J594" i="7"/>
  <c r="J593" i="7" s="1"/>
  <c r="F736" i="9"/>
  <c r="F735" i="9" s="1"/>
  <c r="F734" i="9" s="1"/>
  <c r="F213" i="9"/>
  <c r="F212" i="9" s="1"/>
  <c r="F211" i="9" s="1"/>
  <c r="F210" i="9" s="1"/>
  <c r="F209" i="9" s="1"/>
  <c r="J903" i="7"/>
  <c r="J902" i="7" s="1"/>
  <c r="J901" i="7"/>
  <c r="J899" i="7" s="1"/>
  <c r="J898" i="7" s="1"/>
  <c r="D38" i="9"/>
  <c r="D37" i="9" s="1"/>
  <c r="D36" i="9" s="1"/>
  <c r="F842" i="7"/>
  <c r="F841" i="7" s="1"/>
  <c r="D360" i="9"/>
  <c r="D636" i="9"/>
  <c r="D635" i="9" s="1"/>
  <c r="D634" i="9" s="1"/>
  <c r="D633" i="9" s="1"/>
  <c r="D733" i="9"/>
  <c r="D732" i="9" s="1"/>
  <c r="D731" i="9" s="1"/>
  <c r="D155" i="9"/>
  <c r="D154" i="9" s="1"/>
  <c r="D153" i="9" s="1"/>
  <c r="D152" i="9" s="1"/>
  <c r="F689" i="7"/>
  <c r="F688" i="7" s="1"/>
  <c r="F687" i="7" s="1"/>
  <c r="J63" i="7"/>
  <c r="J60" i="7" s="1"/>
  <c r="F490" i="9"/>
  <c r="F487" i="9" s="1"/>
  <c r="J388" i="7"/>
  <c r="J387" i="7" s="1"/>
  <c r="F313" i="9"/>
  <c r="F312" i="9" s="1"/>
  <c r="F311" i="9" s="1"/>
  <c r="H298" i="7"/>
  <c r="H297" i="7" s="1"/>
  <c r="E287" i="9"/>
  <c r="E286" i="9" s="1"/>
  <c r="F155" i="9"/>
  <c r="F154" i="9" s="1"/>
  <c r="F153" i="9" s="1"/>
  <c r="F152" i="9" s="1"/>
  <c r="J689" i="7"/>
  <c r="J688" i="7" s="1"/>
  <c r="J687" i="7" s="1"/>
  <c r="F137" i="7"/>
  <c r="F63" i="7"/>
  <c r="F60" i="7" s="1"/>
  <c r="F790" i="7"/>
  <c r="F789" i="7" s="1"/>
  <c r="F329" i="9"/>
  <c r="F328" i="9" s="1"/>
  <c r="F327" i="9" s="1"/>
  <c r="F326" i="9" s="1"/>
  <c r="F325" i="9" s="1"/>
  <c r="K636" i="7"/>
  <c r="K635" i="7" s="1"/>
  <c r="K634" i="7" s="1"/>
  <c r="K626" i="7" s="1"/>
  <c r="K625" i="7" s="1"/>
  <c r="D56" i="9"/>
  <c r="D55" i="9" s="1"/>
  <c r="D52" i="9" s="1"/>
  <c r="F860" i="7"/>
  <c r="F857" i="7" s="1"/>
  <c r="D236" i="9"/>
  <c r="D235" i="9" s="1"/>
  <c r="G53" i="7"/>
  <c r="G52" i="7" s="1"/>
  <c r="E155" i="9"/>
  <c r="E154" i="9" s="1"/>
  <c r="E153" i="9" s="1"/>
  <c r="E152" i="9" s="1"/>
  <c r="H689" i="7"/>
  <c r="H688" i="7" s="1"/>
  <c r="H687" i="7" s="1"/>
  <c r="F52" i="7"/>
  <c r="F51" i="7" s="1"/>
  <c r="F50" i="7" s="1"/>
  <c r="F49" i="7" s="1"/>
  <c r="F48" i="7" s="1"/>
  <c r="F799" i="7"/>
  <c r="F798" i="7" s="1"/>
  <c r="F169" i="7"/>
  <c r="F168" i="7" s="1"/>
  <c r="E765" i="9"/>
  <c r="E764" i="9" s="1"/>
  <c r="E763" i="9" s="1"/>
  <c r="E775" i="9"/>
  <c r="E774" i="9" s="1"/>
  <c r="E773" i="9" s="1"/>
  <c r="E308" i="9"/>
  <c r="E307" i="9" s="1"/>
  <c r="F509" i="9"/>
  <c r="F508" i="9" s="1"/>
  <c r="F507" i="9" s="1"/>
  <c r="F268" i="7"/>
  <c r="F267" i="7" s="1"/>
  <c r="E675" i="9"/>
  <c r="E674" i="9" s="1"/>
  <c r="E673" i="9" s="1"/>
  <c r="E669" i="9" s="1"/>
  <c r="J141" i="7"/>
  <c r="J268" i="7"/>
  <c r="J267" i="7" s="1"/>
  <c r="J374" i="7"/>
  <c r="J373" i="7" s="1"/>
  <c r="J372" i="7" s="1"/>
  <c r="F636" i="9"/>
  <c r="F635" i="9" s="1"/>
  <c r="F634" i="9" s="1"/>
  <c r="F633" i="9" s="1"/>
  <c r="J745" i="7"/>
  <c r="J746" i="7"/>
  <c r="H149" i="7"/>
  <c r="I150" i="7"/>
  <c r="I149" i="7" s="1"/>
  <c r="H662" i="7"/>
  <c r="H661" i="7" s="1"/>
  <c r="H370" i="7"/>
  <c r="H369" i="7" s="1"/>
  <c r="H368" i="7" s="1"/>
  <c r="E632" i="9"/>
  <c r="E631" i="9" s="1"/>
  <c r="E630" i="9" s="1"/>
  <c r="E629" i="9" s="1"/>
  <c r="F224" i="9"/>
  <c r="F223" i="9" s="1"/>
  <c r="J813" i="7"/>
  <c r="J812" i="7" s="1"/>
  <c r="E213" i="9"/>
  <c r="E212" i="9" s="1"/>
  <c r="E211" i="9" s="1"/>
  <c r="E210" i="9" s="1"/>
  <c r="E209" i="9" s="1"/>
  <c r="G928" i="7"/>
  <c r="G927" i="7" s="1"/>
  <c r="F927" i="7"/>
  <c r="F678" i="7"/>
  <c r="F677" i="7" s="1"/>
  <c r="H152" i="7"/>
  <c r="H151" i="7" s="1"/>
  <c r="J756" i="7"/>
  <c r="J755" i="7" s="1"/>
  <c r="F318" i="9"/>
  <c r="F317" i="9" s="1"/>
  <c r="F316" i="9" s="1"/>
  <c r="F315" i="9" s="1"/>
  <c r="F314" i="9" s="1"/>
  <c r="J264" i="7"/>
  <c r="G235" i="7"/>
  <c r="G234" i="7" s="1"/>
  <c r="G233" i="7" s="1"/>
  <c r="G663" i="7"/>
  <c r="G662" i="7" s="1"/>
  <c r="G661" i="7" s="1"/>
  <c r="G650" i="7" s="1"/>
  <c r="F662" i="7"/>
  <c r="F661" i="7" s="1"/>
  <c r="E755" i="9"/>
  <c r="E754" i="9" s="1"/>
  <c r="E753" i="9" s="1"/>
  <c r="E464" i="9"/>
  <c r="E463" i="9" s="1"/>
  <c r="E329" i="9"/>
  <c r="E328" i="9" s="1"/>
  <c r="E327" i="9" s="1"/>
  <c r="E326" i="9" s="1"/>
  <c r="E325" i="9" s="1"/>
  <c r="F745" i="7"/>
  <c r="F744" i="7" s="1"/>
  <c r="F743" i="7" s="1"/>
  <c r="F923" i="7"/>
  <c r="H842" i="7"/>
  <c r="H841" i="7" s="1"/>
  <c r="E38" i="9"/>
  <c r="E37" i="9" s="1"/>
  <c r="E36" i="9" s="1"/>
  <c r="G738" i="7"/>
  <c r="G737" i="7" s="1"/>
  <c r="G736" i="7" s="1"/>
  <c r="G735" i="7" s="1"/>
  <c r="J927" i="7"/>
  <c r="K928" i="7"/>
  <c r="K927" i="7" s="1"/>
  <c r="D138" i="9"/>
  <c r="D137" i="9" s="1"/>
  <c r="D136" i="9" s="1"/>
  <c r="D135" i="9" s="1"/>
  <c r="F675" i="7"/>
  <c r="F674" i="7" s="1"/>
  <c r="G676" i="7"/>
  <c r="G675" i="7" s="1"/>
  <c r="G674" i="7" s="1"/>
  <c r="G673" i="7" s="1"/>
  <c r="E110" i="9"/>
  <c r="E109" i="9" s="1"/>
  <c r="E108" i="9" s="1"/>
  <c r="H656" i="7"/>
  <c r="H655" i="7" s="1"/>
  <c r="E693" i="9"/>
  <c r="E692" i="9" s="1"/>
  <c r="E691" i="9" s="1"/>
  <c r="F111" i="7"/>
  <c r="F110" i="7" s="1"/>
  <c r="E603" i="9"/>
  <c r="E602" i="9" s="1"/>
  <c r="E601" i="9" s="1"/>
  <c r="E512" i="9"/>
  <c r="E511" i="9" s="1"/>
  <c r="E510" i="9" s="1"/>
  <c r="E199" i="9"/>
  <c r="E198" i="9" s="1"/>
  <c r="E197" i="9" s="1"/>
  <c r="E576" i="9"/>
  <c r="E575" i="9" s="1"/>
  <c r="E574" i="9" s="1"/>
  <c r="F756" i="7"/>
  <c r="F755" i="7" s="1"/>
  <c r="F503" i="9"/>
  <c r="F502" i="9" s="1"/>
  <c r="F501" i="9" s="1"/>
  <c r="F38" i="9"/>
  <c r="F37" i="9" s="1"/>
  <c r="F36" i="9" s="1"/>
  <c r="K318" i="7"/>
  <c r="K317" i="7" s="1"/>
  <c r="K314" i="7" s="1"/>
  <c r="F41" i="9"/>
  <c r="F40" i="9" s="1"/>
  <c r="F39" i="9" s="1"/>
  <c r="J845" i="7"/>
  <c r="J844" i="7" s="1"/>
  <c r="J840" i="7" s="1"/>
  <c r="J839" i="7" s="1"/>
  <c r="F236" i="9"/>
  <c r="F235" i="9"/>
  <c r="E228" i="9"/>
  <c r="E227" i="9" s="1"/>
  <c r="I924" i="7"/>
  <c r="I923" i="7" s="1"/>
  <c r="H923" i="7"/>
  <c r="E778" i="9"/>
  <c r="E777" i="9" s="1"/>
  <c r="E776" i="9" s="1"/>
  <c r="F177" i="9"/>
  <c r="F176" i="9"/>
  <c r="F175" i="9" s="1"/>
  <c r="F174" i="9" s="1"/>
  <c r="J137" i="7"/>
  <c r="F448" i="9"/>
  <c r="J528" i="7"/>
  <c r="J527" i="7" s="1"/>
  <c r="J517" i="7" s="1"/>
  <c r="F666" i="9"/>
  <c r="F665" i="9" s="1"/>
  <c r="F664" i="9" s="1"/>
  <c r="F654" i="9" s="1"/>
  <c r="H746" i="7"/>
  <c r="H745" i="7"/>
  <c r="H744" i="7" s="1"/>
  <c r="H39" i="7"/>
  <c r="H38" i="7" s="1"/>
  <c r="H37" i="7" s="1"/>
  <c r="E762" i="9"/>
  <c r="E761" i="9" s="1"/>
  <c r="E760" i="9" s="1"/>
  <c r="H790" i="7"/>
  <c r="H789" i="7" s="1"/>
  <c r="E196" i="9"/>
  <c r="E195" i="9" s="1"/>
  <c r="E194" i="9" s="1"/>
  <c r="H402" i="7"/>
  <c r="H401" i="7" s="1"/>
  <c r="H400" i="7" s="1"/>
  <c r="H399" i="7" s="1"/>
  <c r="H398" i="7" s="1"/>
  <c r="H397" i="7" s="1"/>
  <c r="E458" i="9"/>
  <c r="E457" i="9" s="1"/>
  <c r="E456" i="9" s="1"/>
  <c r="D775" i="9"/>
  <c r="D774" i="9" s="1"/>
  <c r="D773" i="9" s="1"/>
  <c r="D769" i="9" s="1"/>
  <c r="F114" i="7"/>
  <c r="F113" i="7" s="1"/>
  <c r="AF494" i="2"/>
  <c r="AF493" i="2" s="1"/>
  <c r="AF495" i="2"/>
  <c r="F865" i="7"/>
  <c r="D41" i="9"/>
  <c r="D40" i="9" s="1"/>
  <c r="D39" i="9" s="1"/>
  <c r="F845" i="7"/>
  <c r="F844" i="7" s="1"/>
  <c r="D245" i="9"/>
  <c r="D244" i="9" s="1"/>
  <c r="D240" i="9" s="1"/>
  <c r="D239" i="9" s="1"/>
  <c r="F951" i="7"/>
  <c r="F950" i="7" s="1"/>
  <c r="F946" i="7" s="1"/>
  <c r="AF545" i="2"/>
  <c r="AF544" i="2" s="1"/>
  <c r="AF546" i="2"/>
  <c r="H388" i="7"/>
  <c r="H387" i="7" s="1"/>
  <c r="H383" i="7" s="1"/>
  <c r="H382" i="7" s="1"/>
  <c r="H381" i="7" s="1"/>
  <c r="H380" i="7" s="1"/>
  <c r="E313" i="9"/>
  <c r="E312" i="9" s="1"/>
  <c r="E311" i="9" s="1"/>
  <c r="J737" i="7"/>
  <c r="J736" i="7" s="1"/>
  <c r="K738" i="7"/>
  <c r="K737" i="7" s="1"/>
  <c r="K736" i="7" s="1"/>
  <c r="K735" i="7" s="1"/>
  <c r="F56" i="9"/>
  <c r="F55" i="9" s="1"/>
  <c r="F52" i="9" s="1"/>
  <c r="F772" i="9"/>
  <c r="F771" i="9" s="1"/>
  <c r="F770" i="9" s="1"/>
  <c r="J629" i="7"/>
  <c r="J628" i="7" s="1"/>
  <c r="J627" i="7" s="1"/>
  <c r="F103" i="9"/>
  <c r="F102" i="9" s="1"/>
  <c r="F101" i="9" s="1"/>
  <c r="F100" i="9" s="1"/>
  <c r="J790" i="7"/>
  <c r="J789" i="7" s="1"/>
  <c r="F196" i="9"/>
  <c r="F195" i="9" s="1"/>
  <c r="F194" i="9" s="1"/>
  <c r="H169" i="7"/>
  <c r="H168" i="7" s="1"/>
  <c r="H925" i="7"/>
  <c r="I926" i="7"/>
  <c r="I318" i="7"/>
  <c r="I317" i="7" s="1"/>
  <c r="I314" i="7" s="1"/>
  <c r="E276" i="9"/>
  <c r="D213" i="9"/>
  <c r="D212" i="9" s="1"/>
  <c r="D211" i="9" s="1"/>
  <c r="D210" i="9" s="1"/>
  <c r="D209" i="9" s="1"/>
  <c r="F901" i="7"/>
  <c r="D313" i="9"/>
  <c r="D312" i="9" s="1"/>
  <c r="D311" i="9" s="1"/>
  <c r="D632" i="9"/>
  <c r="D631" i="9" s="1"/>
  <c r="D630" i="9" s="1"/>
  <c r="D629" i="9" s="1"/>
  <c r="F370" i="7"/>
  <c r="F369" i="7" s="1"/>
  <c r="F368" i="7" s="1"/>
  <c r="E187" i="9"/>
  <c r="E186" i="9" s="1"/>
  <c r="E560" i="9"/>
  <c r="E559" i="9" s="1"/>
  <c r="E558" i="9" s="1"/>
  <c r="J81" i="7"/>
  <c r="J80" i="7" s="1"/>
  <c r="J79" i="7" s="1"/>
  <c r="H209" i="7"/>
  <c r="H208" i="7" s="1"/>
  <c r="H207" i="7" s="1"/>
  <c r="I210" i="7"/>
  <c r="I209" i="7" s="1"/>
  <c r="I208" i="7" s="1"/>
  <c r="I207" i="7" s="1"/>
  <c r="E596" i="9"/>
  <c r="E595" i="9" s="1"/>
  <c r="E594" i="9" s="1"/>
  <c r="E593" i="9" s="1"/>
  <c r="H98" i="7"/>
  <c r="H99" i="7"/>
  <c r="H302" i="7"/>
  <c r="H301" i="7" s="1"/>
  <c r="H300" i="7" s="1"/>
  <c r="E295" i="9"/>
  <c r="E294" i="9" s="1"/>
  <c r="H927" i="7"/>
  <c r="I928" i="7"/>
  <c r="I927" i="7" s="1"/>
  <c r="J149" i="7"/>
  <c r="K150" i="7"/>
  <c r="K149" i="7" s="1"/>
  <c r="H548" i="7"/>
  <c r="H547" i="7" s="1"/>
  <c r="H543" i="7" s="1"/>
  <c r="E689" i="9"/>
  <c r="E688" i="9" s="1"/>
  <c r="D238" i="9"/>
  <c r="D237" i="9" s="1"/>
  <c r="G55" i="7"/>
  <c r="G54" i="7" s="1"/>
  <c r="F60" i="9"/>
  <c r="E235" i="9"/>
  <c r="E236" i="9"/>
  <c r="H52" i="7"/>
  <c r="I53" i="7"/>
  <c r="I52" i="7" s="1"/>
  <c r="F110" i="9"/>
  <c r="F109" i="9" s="1"/>
  <c r="F108" i="9" s="1"/>
  <c r="J656" i="7"/>
  <c r="J655" i="7" s="1"/>
  <c r="D599" i="9"/>
  <c r="D598" i="9" s="1"/>
  <c r="D315" i="9"/>
  <c r="D314" i="9" s="1"/>
  <c r="D759" i="9"/>
  <c r="AD545" i="2"/>
  <c r="AD544" i="2" s="1"/>
  <c r="AD495" i="2"/>
  <c r="AD494" i="2"/>
  <c r="AD493" i="2" s="1"/>
  <c r="AD240" i="2"/>
  <c r="AD239" i="2" s="1"/>
  <c r="AD238" i="2" s="1"/>
  <c r="AD230" i="2" s="1"/>
  <c r="AD270" i="2"/>
  <c r="AD269" i="2" s="1"/>
  <c r="AD268" i="2" s="1"/>
  <c r="AD267" i="2" s="1"/>
  <c r="AD514" i="2"/>
  <c r="AD513" i="2" s="1"/>
  <c r="AD512" i="2" s="1"/>
  <c r="AF270" i="2"/>
  <c r="AF269" i="2" s="1"/>
  <c r="AF268" i="2" s="1"/>
  <c r="AF267" i="2" s="1"/>
  <c r="J114" i="7"/>
  <c r="J113" i="7" s="1"/>
  <c r="J109" i="7" s="1"/>
  <c r="F775" i="9"/>
  <c r="F774" i="9" s="1"/>
  <c r="F773" i="9" s="1"/>
  <c r="F331" i="7"/>
  <c r="F330" i="7" s="1"/>
  <c r="F833" i="7"/>
  <c r="F832" i="7" s="1"/>
  <c r="F831" i="7" s="1"/>
  <c r="F830" i="7" s="1"/>
  <c r="AF33" i="2"/>
  <c r="AF32" i="2" s="1"/>
  <c r="F755" i="9"/>
  <c r="F754" i="9" s="1"/>
  <c r="F753" i="9" s="1"/>
  <c r="J147" i="7"/>
  <c r="K148" i="7"/>
  <c r="K147" i="7" s="1"/>
  <c r="F462" i="9"/>
  <c r="J68" i="7"/>
  <c r="J67" i="7" s="1"/>
  <c r="F496" i="9"/>
  <c r="F495" i="9" s="1"/>
  <c r="F494" i="9" s="1"/>
  <c r="J865" i="7"/>
  <c r="AF254" i="2"/>
  <c r="AF253" i="2" s="1"/>
  <c r="AF252" i="2" s="1"/>
  <c r="AE254" i="2"/>
  <c r="AE253" i="2" s="1"/>
  <c r="AE252" i="2" s="1"/>
  <c r="J289" i="7"/>
  <c r="F356" i="9"/>
  <c r="F355" i="9" s="1"/>
  <c r="J370" i="7"/>
  <c r="J369" i="7" s="1"/>
  <c r="J368" i="7" s="1"/>
  <c r="F632" i="9"/>
  <c r="F631" i="9" s="1"/>
  <c r="F630" i="9" s="1"/>
  <c r="F629" i="9" s="1"/>
  <c r="J331" i="7"/>
  <c r="F603" i="9"/>
  <c r="F602" i="9" s="1"/>
  <c r="F601" i="9" s="1"/>
  <c r="F600" i="9" s="1"/>
  <c r="F64" i="10"/>
  <c r="F63" i="10" s="1"/>
  <c r="H147" i="7"/>
  <c r="I148" i="7"/>
  <c r="I147" i="7" s="1"/>
  <c r="D462" i="9"/>
  <c r="G148" i="7"/>
  <c r="G147" i="7" s="1"/>
  <c r="AE33" i="2"/>
  <c r="AE32" i="2" s="1"/>
  <c r="AE31" i="2" s="1"/>
  <c r="AE30" i="2" s="1"/>
  <c r="E462" i="9"/>
  <c r="E535" i="9"/>
  <c r="E534" i="9" s="1"/>
  <c r="E529" i="9" s="1"/>
  <c r="F187" i="9"/>
  <c r="F186" i="9" s="1"/>
  <c r="F762" i="9"/>
  <c r="F761" i="9" s="1"/>
  <c r="F760" i="9" s="1"/>
  <c r="F546" i="9"/>
  <c r="F545" i="9" s="1"/>
  <c r="F768" i="9"/>
  <c r="F767" i="9" s="1"/>
  <c r="F766" i="9" s="1"/>
  <c r="J45" i="7"/>
  <c r="J44" i="7" s="1"/>
  <c r="H34" i="7"/>
  <c r="H35" i="7"/>
  <c r="F475" i="9"/>
  <c r="F474" i="9" s="1"/>
  <c r="F473" i="9" s="1"/>
  <c r="J160" i="7"/>
  <c r="J159" i="7" s="1"/>
  <c r="J234" i="7"/>
  <c r="J233" i="7" s="1"/>
  <c r="K235" i="7"/>
  <c r="K234" i="7" s="1"/>
  <c r="K233" i="7" s="1"/>
  <c r="E224" i="9"/>
  <c r="E223" i="9" s="1"/>
  <c r="H813" i="7"/>
  <c r="H812" i="7" s="1"/>
  <c r="D60" i="9"/>
  <c r="H756" i="7"/>
  <c r="H755" i="7" s="1"/>
  <c r="D758" i="9"/>
  <c r="D757" i="9" s="1"/>
  <c r="D756" i="9" s="1"/>
  <c r="D693" i="9"/>
  <c r="D692" i="9" s="1"/>
  <c r="D691" i="9" s="1"/>
  <c r="F551" i="7"/>
  <c r="F550" i="7" s="1"/>
  <c r="E202" i="9"/>
  <c r="E201" i="9" s="1"/>
  <c r="E200" i="9" s="1"/>
  <c r="E768" i="9"/>
  <c r="E767" i="9" s="1"/>
  <c r="E766" i="9" s="1"/>
  <c r="F499" i="9"/>
  <c r="F498" i="9" s="1"/>
  <c r="F497" i="9" s="1"/>
  <c r="F16" i="10"/>
  <c r="H20" i="7"/>
  <c r="H19" i="7" s="1"/>
  <c r="H18" i="7" s="1"/>
  <c r="H17" i="7" s="1"/>
  <c r="H16" i="7" s="1"/>
  <c r="AE17" i="2"/>
  <c r="AE16" i="2" s="1"/>
  <c r="AE15" i="2" s="1"/>
  <c r="AE14" i="2" s="1"/>
  <c r="AD17" i="2"/>
  <c r="AD16" i="2" s="1"/>
  <c r="AD15" i="2" s="1"/>
  <c r="AD14" i="2" s="1"/>
  <c r="F20" i="7"/>
  <c r="F19" i="7" s="1"/>
  <c r="F18" i="7" s="1"/>
  <c r="F17" i="7" s="1"/>
  <c r="F16" i="7" s="1"/>
  <c r="D680" i="9" l="1"/>
  <c r="D679" i="9" s="1"/>
  <c r="F543" i="7"/>
  <c r="F542" i="7" s="1"/>
  <c r="D628" i="9"/>
  <c r="H654" i="7"/>
  <c r="AE92" i="2"/>
  <c r="E628" i="9"/>
  <c r="F628" i="9"/>
  <c r="AD21" i="2"/>
  <c r="H136" i="7"/>
  <c r="H854" i="7"/>
  <c r="J854" i="7"/>
  <c r="J735" i="7"/>
  <c r="J734" i="7" s="1"/>
  <c r="H735" i="7"/>
  <c r="H734" i="7" s="1"/>
  <c r="AF304" i="2"/>
  <c r="AE304" i="2"/>
  <c r="AD304" i="2"/>
  <c r="AD434" i="2"/>
  <c r="AF522" i="2"/>
  <c r="AE522" i="2"/>
  <c r="AD522" i="2"/>
  <c r="J744" i="7"/>
  <c r="J743" i="7" s="1"/>
  <c r="E222" i="9"/>
  <c r="E221" i="9" s="1"/>
  <c r="E215" i="9" s="1"/>
  <c r="AF492" i="2"/>
  <c r="AD404" i="2"/>
  <c r="AD403" i="2" s="1"/>
  <c r="H920" i="7"/>
  <c r="H919" i="7" s="1"/>
  <c r="H918" i="7" s="1"/>
  <c r="H917" i="7" s="1"/>
  <c r="AE492" i="2"/>
  <c r="J654" i="7"/>
  <c r="J650" i="7" s="1"/>
  <c r="D221" i="9"/>
  <c r="K920" i="7"/>
  <c r="K919" i="7" s="1"/>
  <c r="K918" i="7" s="1"/>
  <c r="K917" i="7" s="1"/>
  <c r="J920" i="7"/>
  <c r="J919" i="7" s="1"/>
  <c r="J918" i="7" s="1"/>
  <c r="J917" i="7" s="1"/>
  <c r="F920" i="7"/>
  <c r="F919" i="7" s="1"/>
  <c r="F918" i="7" s="1"/>
  <c r="F917" i="7" s="1"/>
  <c r="AD492" i="2"/>
  <c r="F654" i="7"/>
  <c r="D272" i="9"/>
  <c r="D271" i="9" s="1"/>
  <c r="D270" i="9" s="1"/>
  <c r="D269" i="9" s="1"/>
  <c r="H542" i="7"/>
  <c r="J542" i="7"/>
  <c r="J136" i="7"/>
  <c r="J135" i="7" s="1"/>
  <c r="E542" i="9"/>
  <c r="F447" i="9"/>
  <c r="F446" i="9" s="1"/>
  <c r="D186" i="9"/>
  <c r="D185" i="9" s="1"/>
  <c r="D173" i="9" s="1"/>
  <c r="F489" i="7"/>
  <c r="D664" i="9"/>
  <c r="D654" i="9" s="1"/>
  <c r="D653" i="9" s="1"/>
  <c r="F136" i="7"/>
  <c r="F135" i="7" s="1"/>
  <c r="E304" i="9"/>
  <c r="E297" i="9" s="1"/>
  <c r="H673" i="7"/>
  <c r="J673" i="7"/>
  <c r="F673" i="7"/>
  <c r="E447" i="9"/>
  <c r="E446" i="9" s="1"/>
  <c r="F194" i="7"/>
  <c r="F542" i="9"/>
  <c r="F536" i="9" s="1"/>
  <c r="F146" i="7"/>
  <c r="F145" i="7" s="1"/>
  <c r="J626" i="7"/>
  <c r="J625" i="7" s="1"/>
  <c r="H626" i="7"/>
  <c r="H625" i="7" s="1"/>
  <c r="J330" i="7"/>
  <c r="J329" i="7" s="1"/>
  <c r="J328" i="7" s="1"/>
  <c r="J327" i="7" s="1"/>
  <c r="J319" i="7" s="1"/>
  <c r="F32" i="10" s="1"/>
  <c r="E600" i="9"/>
  <c r="E599" i="9" s="1"/>
  <c r="E598" i="9" s="1"/>
  <c r="I649" i="7"/>
  <c r="I648" i="7" s="1"/>
  <c r="I647" i="7" s="1"/>
  <c r="K649" i="7"/>
  <c r="K648" i="7" s="1"/>
  <c r="K647" i="7" s="1"/>
  <c r="G649" i="7"/>
  <c r="G648" i="7" s="1"/>
  <c r="G647" i="7" s="1"/>
  <c r="H716" i="7"/>
  <c r="J716" i="7"/>
  <c r="D597" i="9"/>
  <c r="F856" i="7"/>
  <c r="F855" i="7" s="1"/>
  <c r="F854" i="7" s="1"/>
  <c r="H840" i="7"/>
  <c r="H839" i="7" s="1"/>
  <c r="F626" i="7"/>
  <c r="F625" i="7" s="1"/>
  <c r="F716" i="7"/>
  <c r="AF31" i="2"/>
  <c r="AF30" i="2" s="1"/>
  <c r="AF21" i="2" s="1"/>
  <c r="F249" i="9"/>
  <c r="F248" i="9" s="1"/>
  <c r="F247" i="9" s="1"/>
  <c r="E249" i="9"/>
  <c r="E248" i="9" s="1"/>
  <c r="E247" i="9" s="1"/>
  <c r="J957" i="7"/>
  <c r="J956" i="7" s="1"/>
  <c r="J955" i="7" s="1"/>
  <c r="J954" i="7" s="1"/>
  <c r="J953" i="7" s="1"/>
  <c r="G624" i="7"/>
  <c r="G623" i="7" s="1"/>
  <c r="I624" i="7"/>
  <c r="I623" i="7" s="1"/>
  <c r="K624" i="7"/>
  <c r="K623" i="7" s="1"/>
  <c r="F335" i="7"/>
  <c r="F334" i="7" s="1"/>
  <c r="D44" i="9"/>
  <c r="D43" i="9" s="1"/>
  <c r="D42" i="9" s="1"/>
  <c r="D35" i="9" s="1"/>
  <c r="D34" i="9" s="1"/>
  <c r="AE229" i="2"/>
  <c r="F369" i="9"/>
  <c r="F368" i="9" s="1"/>
  <c r="F939" i="7"/>
  <c r="F938" i="7" s="1"/>
  <c r="D369" i="9"/>
  <c r="D368" i="9" s="1"/>
  <c r="D359" i="9" s="1"/>
  <c r="J939" i="7"/>
  <c r="J938" i="7" s="1"/>
  <c r="G939" i="7"/>
  <c r="G938" i="7" s="1"/>
  <c r="G929" i="7" s="1"/>
  <c r="F246" i="7"/>
  <c r="F245" i="7" s="1"/>
  <c r="F244" i="7" s="1"/>
  <c r="D27" i="10" s="1"/>
  <c r="D297" i="9"/>
  <c r="J94" i="7"/>
  <c r="J93" i="7" s="1"/>
  <c r="J92" i="7" s="1"/>
  <c r="J91" i="7" s="1"/>
  <c r="H94" i="7"/>
  <c r="H93" i="7" s="1"/>
  <c r="H92" i="7" s="1"/>
  <c r="H91" i="7" s="1"/>
  <c r="I823" i="7"/>
  <c r="I822" i="7" s="1"/>
  <c r="H246" i="7"/>
  <c r="H245" i="7" s="1"/>
  <c r="H244" i="7" s="1"/>
  <c r="E27" i="10" s="1"/>
  <c r="H516" i="7"/>
  <c r="J485" i="7"/>
  <c r="J484" i="7" s="1"/>
  <c r="J483" i="7" s="1"/>
  <c r="H485" i="7"/>
  <c r="H484" i="7" s="1"/>
  <c r="H483" i="7" s="1"/>
  <c r="F485" i="7"/>
  <c r="J516" i="7"/>
  <c r="AE21" i="2"/>
  <c r="F354" i="9"/>
  <c r="F353" i="9" s="1"/>
  <c r="F352" i="9" s="1"/>
  <c r="F288" i="7"/>
  <c r="F287" i="7" s="1"/>
  <c r="F286" i="7" s="1"/>
  <c r="E354" i="9"/>
  <c r="E353" i="9" s="1"/>
  <c r="E352" i="9" s="1"/>
  <c r="J288" i="7"/>
  <c r="J287" i="7" s="1"/>
  <c r="J286" i="7" s="1"/>
  <c r="D354" i="9"/>
  <c r="D353" i="9" s="1"/>
  <c r="D352" i="9" s="1"/>
  <c r="F297" i="9"/>
  <c r="H743" i="7"/>
  <c r="E537" i="9"/>
  <c r="F189" i="7"/>
  <c r="J981" i="7"/>
  <c r="J984" i="7"/>
  <c r="J983" i="7" s="1"/>
  <c r="J982" i="7"/>
  <c r="H981" i="7"/>
  <c r="H982" i="7"/>
  <c r="H984" i="7"/>
  <c r="H983" i="7" s="1"/>
  <c r="K929" i="7"/>
  <c r="F275" i="9"/>
  <c r="I313" i="7"/>
  <c r="I312" i="7" s="1"/>
  <c r="I311" i="7" s="1"/>
  <c r="I310" i="7" s="1"/>
  <c r="I309" i="7" s="1"/>
  <c r="G313" i="7"/>
  <c r="G312" i="7" s="1"/>
  <c r="G311" i="7" s="1"/>
  <c r="G310" i="7" s="1"/>
  <c r="G309" i="7" s="1"/>
  <c r="F313" i="7"/>
  <c r="F312" i="7" s="1"/>
  <c r="F311" i="7" s="1"/>
  <c r="F310" i="7" s="1"/>
  <c r="D31" i="10" s="1"/>
  <c r="F588" i="9"/>
  <c r="E627" i="9"/>
  <c r="I396" i="7"/>
  <c r="K396" i="7"/>
  <c r="D557" i="9"/>
  <c r="AF381" i="2"/>
  <c r="AE381" i="2"/>
  <c r="AD381" i="2"/>
  <c r="J78" i="7"/>
  <c r="J77" i="7" s="1"/>
  <c r="F561" i="9"/>
  <c r="F560" i="9" s="1"/>
  <c r="F559" i="9" s="1"/>
  <c r="F558" i="9" s="1"/>
  <c r="F557" i="9" s="1"/>
  <c r="AD180" i="2"/>
  <c r="AD179" i="2" s="1"/>
  <c r="AE449" i="2"/>
  <c r="AE448" i="2" s="1"/>
  <c r="AE418" i="2" s="1"/>
  <c r="AF449" i="2"/>
  <c r="AF448" i="2" s="1"/>
  <c r="AF418" i="2" s="1"/>
  <c r="K232" i="7"/>
  <c r="K231" i="7" s="1"/>
  <c r="K230" i="7" s="1"/>
  <c r="K229" i="7" s="1"/>
  <c r="K228" i="7" s="1"/>
  <c r="J232" i="7"/>
  <c r="J231" i="7" s="1"/>
  <c r="J230" i="7" s="1"/>
  <c r="J229" i="7" s="1"/>
  <c r="J228" i="7" s="1"/>
  <c r="E589" i="9"/>
  <c r="E588" i="9" s="1"/>
  <c r="H232" i="7"/>
  <c r="H231" i="7" s="1"/>
  <c r="H230" i="7" s="1"/>
  <c r="H229" i="7" s="1"/>
  <c r="F232" i="7"/>
  <c r="F231" i="7" s="1"/>
  <c r="F230" i="7" s="1"/>
  <c r="F229" i="7" s="1"/>
  <c r="G232" i="7"/>
  <c r="G231" i="7" s="1"/>
  <c r="G230" i="7" s="1"/>
  <c r="G229" i="7" s="1"/>
  <c r="G228" i="7" s="1"/>
  <c r="D589" i="9"/>
  <c r="D588" i="9" s="1"/>
  <c r="AD214" i="2"/>
  <c r="AD213" i="2" s="1"/>
  <c r="AF214" i="2"/>
  <c r="AF213" i="2" s="1"/>
  <c r="AF180" i="2"/>
  <c r="AF179" i="2" s="1"/>
  <c r="AE180" i="2"/>
  <c r="AE179" i="2" s="1"/>
  <c r="H266" i="7"/>
  <c r="J245" i="7"/>
  <c r="J244" i="7" s="1"/>
  <c r="F27" i="10" s="1"/>
  <c r="D536" i="9"/>
  <c r="J188" i="7"/>
  <c r="J163" i="7" s="1"/>
  <c r="H188" i="7"/>
  <c r="H163" i="7" s="1"/>
  <c r="F193" i="9"/>
  <c r="F192" i="9" s="1"/>
  <c r="F191" i="9" s="1"/>
  <c r="E193" i="9"/>
  <c r="E192" i="9" s="1"/>
  <c r="E191" i="9" s="1"/>
  <c r="F56" i="10"/>
  <c r="D752" i="9"/>
  <c r="F500" i="9"/>
  <c r="E500" i="9"/>
  <c r="E293" i="9"/>
  <c r="F293" i="9"/>
  <c r="D293" i="9"/>
  <c r="H273" i="7"/>
  <c r="H272" i="7" s="1"/>
  <c r="F273" i="7"/>
  <c r="F272" i="7" s="1"/>
  <c r="AF410" i="2"/>
  <c r="AF404" i="2" s="1"/>
  <c r="AF403" i="2" s="1"/>
  <c r="AF401" i="2" s="1"/>
  <c r="AE410" i="2"/>
  <c r="AE404" i="2" s="1"/>
  <c r="AE403" i="2" s="1"/>
  <c r="K804" i="7"/>
  <c r="K803" i="7" s="1"/>
  <c r="K784" i="7" s="1"/>
  <c r="D500" i="9"/>
  <c r="G804" i="7"/>
  <c r="G803" i="7" s="1"/>
  <c r="G784" i="7" s="1"/>
  <c r="I804" i="7"/>
  <c r="I803" i="7" s="1"/>
  <c r="I784" i="7" s="1"/>
  <c r="H109" i="7"/>
  <c r="H108" i="7" s="1"/>
  <c r="D486" i="9"/>
  <c r="H788" i="7"/>
  <c r="H787" i="7" s="1"/>
  <c r="H786" i="7" s="1"/>
  <c r="H785" i="7" s="1"/>
  <c r="K734" i="7"/>
  <c r="K733" i="7" s="1"/>
  <c r="K715" i="7" s="1"/>
  <c r="I734" i="7"/>
  <c r="G734" i="7"/>
  <c r="G733" i="7" s="1"/>
  <c r="G715" i="7" s="1"/>
  <c r="AF229" i="2"/>
  <c r="AD229" i="2"/>
  <c r="D450" i="9"/>
  <c r="D447" i="9" s="1"/>
  <c r="H367" i="7"/>
  <c r="H366" i="7" s="1"/>
  <c r="H365" i="7" s="1"/>
  <c r="E34" i="10" s="1"/>
  <c r="F367" i="7"/>
  <c r="F366" i="7" s="1"/>
  <c r="F365" i="7" s="1"/>
  <c r="D34" i="10" s="1"/>
  <c r="J367" i="7"/>
  <c r="J366" i="7" s="1"/>
  <c r="J365" i="7" s="1"/>
  <c r="F34" i="10" s="1"/>
  <c r="J263" i="7"/>
  <c r="J262" i="7" s="1"/>
  <c r="F263" i="7"/>
  <c r="F262" i="7" s="1"/>
  <c r="H263" i="7"/>
  <c r="H262" i="7" s="1"/>
  <c r="E338" i="9"/>
  <c r="J761" i="7"/>
  <c r="H206" i="7"/>
  <c r="H205" i="7" s="1"/>
  <c r="I206" i="7"/>
  <c r="I205" i="7" s="1"/>
  <c r="H820" i="7"/>
  <c r="H819" i="7" s="1"/>
  <c r="F592" i="7"/>
  <c r="F591" i="7" s="1"/>
  <c r="E733" i="9"/>
  <c r="E732" i="9" s="1"/>
  <c r="E731" i="9" s="1"/>
  <c r="G516" i="7"/>
  <c r="G515" i="7" s="1"/>
  <c r="G482" i="7" s="1"/>
  <c r="F599" i="9"/>
  <c r="F598" i="9" s="1"/>
  <c r="E557" i="9"/>
  <c r="E51" i="9"/>
  <c r="E50" i="9" s="1"/>
  <c r="E49" i="9" s="1"/>
  <c r="F957" i="7"/>
  <c r="F956" i="7" s="1"/>
  <c r="F955" i="7" s="1"/>
  <c r="F954" i="7" s="1"/>
  <c r="E573" i="9"/>
  <c r="E572" i="9" s="1"/>
  <c r="H945" i="7"/>
  <c r="H944" i="7" s="1"/>
  <c r="H943" i="7" s="1"/>
  <c r="E59" i="10" s="1"/>
  <c r="F813" i="7"/>
  <c r="F812" i="7" s="1"/>
  <c r="E666" i="9"/>
  <c r="E665" i="9" s="1"/>
  <c r="E664" i="9" s="1"/>
  <c r="E654" i="9" s="1"/>
  <c r="J945" i="7"/>
  <c r="J944" i="7" s="1"/>
  <c r="J943" i="7" s="1"/>
  <c r="F59" i="10" s="1"/>
  <c r="F573" i="9"/>
  <c r="F572" i="9" s="1"/>
  <c r="F59" i="7"/>
  <c r="F58" i="7" s="1"/>
  <c r="F57" i="7" s="1"/>
  <c r="F56" i="7" s="1"/>
  <c r="F47" i="7" s="1"/>
  <c r="F848" i="7"/>
  <c r="F847" i="7" s="1"/>
  <c r="F840" i="7" s="1"/>
  <c r="F839" i="7" s="1"/>
  <c r="F769" i="7"/>
  <c r="F338" i="9"/>
  <c r="E185" i="9"/>
  <c r="E173" i="9" s="1"/>
  <c r="J383" i="7"/>
  <c r="J382" i="7" s="1"/>
  <c r="J381" i="7" s="1"/>
  <c r="J380" i="7" s="1"/>
  <c r="F733" i="9"/>
  <c r="F732" i="9" s="1"/>
  <c r="F731" i="9" s="1"/>
  <c r="K51" i="7"/>
  <c r="K50" i="7" s="1"/>
  <c r="K49" i="7" s="1"/>
  <c r="H754" i="7"/>
  <c r="F228" i="9"/>
  <c r="F227" i="9" s="1"/>
  <c r="F222" i="9" s="1"/>
  <c r="F231" i="9"/>
  <c r="F230" i="9" s="1"/>
  <c r="F229" i="9" s="1"/>
  <c r="J820" i="7"/>
  <c r="J819" i="7" s="1"/>
  <c r="H936" i="7"/>
  <c r="H935" i="7" s="1"/>
  <c r="H931" i="7" s="1"/>
  <c r="E367" i="9"/>
  <c r="E366" i="9" s="1"/>
  <c r="E365" i="9" s="1"/>
  <c r="E361" i="9" s="1"/>
  <c r="H957" i="7"/>
  <c r="H956" i="7" s="1"/>
  <c r="E486" i="9"/>
  <c r="F675" i="9"/>
  <c r="F674" i="9" s="1"/>
  <c r="F673" i="9" s="1"/>
  <c r="F669" i="9" s="1"/>
  <c r="F152" i="7"/>
  <c r="F151" i="7" s="1"/>
  <c r="F528" i="7"/>
  <c r="F527" i="7" s="1"/>
  <c r="F517" i="7" s="1"/>
  <c r="F516" i="7" s="1"/>
  <c r="F383" i="7"/>
  <c r="F382" i="7" s="1"/>
  <c r="F381" i="7" s="1"/>
  <c r="F380" i="7" s="1"/>
  <c r="H592" i="7"/>
  <c r="H591" i="7" s="1"/>
  <c r="J152" i="7"/>
  <c r="J151" i="7" s="1"/>
  <c r="E35" i="10"/>
  <c r="F945" i="7"/>
  <c r="F944" i="7" s="1"/>
  <c r="F943" i="7" s="1"/>
  <c r="D59" i="10" s="1"/>
  <c r="E35" i="9"/>
  <c r="E34" i="9" s="1"/>
  <c r="F930" i="7"/>
  <c r="F329" i="7"/>
  <c r="F328" i="7" s="1"/>
  <c r="F327" i="7" s="1"/>
  <c r="F319" i="7" s="1"/>
  <c r="F754" i="7"/>
  <c r="D646" i="9"/>
  <c r="F788" i="7"/>
  <c r="F787" i="7" s="1"/>
  <c r="F786" i="7" s="1"/>
  <c r="F785" i="7" s="1"/>
  <c r="F107" i="9"/>
  <c r="F96" i="9" s="1"/>
  <c r="F95" i="9" s="1"/>
  <c r="I51" i="7"/>
  <c r="I50" i="7" s="1"/>
  <c r="I49" i="7" s="1"/>
  <c r="J788" i="7"/>
  <c r="J787" i="7" s="1"/>
  <c r="J786" i="7" s="1"/>
  <c r="J785" i="7" s="1"/>
  <c r="H650" i="7"/>
  <c r="G51" i="7"/>
  <c r="G50" i="7" s="1"/>
  <c r="G49" i="7" s="1"/>
  <c r="F296" i="7"/>
  <c r="F295" i="7" s="1"/>
  <c r="F94" i="7"/>
  <c r="F93" i="7" s="1"/>
  <c r="F92" i="7" s="1"/>
  <c r="H146" i="7"/>
  <c r="H145" i="7" s="1"/>
  <c r="F35" i="9"/>
  <c r="F34" i="9" s="1"/>
  <c r="F109" i="7"/>
  <c r="E107" i="9"/>
  <c r="E96" i="9" s="1"/>
  <c r="E95" i="9" s="1"/>
  <c r="E466" i="9"/>
  <c r="E465" i="9" s="1"/>
  <c r="J37" i="7"/>
  <c r="J30" i="7" s="1"/>
  <c r="J23" i="7" s="1"/>
  <c r="G146" i="7"/>
  <c r="G145" i="7" s="1"/>
  <c r="G134" i="7" s="1"/>
  <c r="G133" i="7" s="1"/>
  <c r="G132" i="7" s="1"/>
  <c r="J754" i="7"/>
  <c r="H135" i="7"/>
  <c r="J900" i="7"/>
  <c r="D51" i="9"/>
  <c r="D50" i="9" s="1"/>
  <c r="D49" i="9" s="1"/>
  <c r="J51" i="7"/>
  <c r="J50" i="7" s="1"/>
  <c r="J49" i="7" s="1"/>
  <c r="J48" i="7" s="1"/>
  <c r="G925" i="7"/>
  <c r="E769" i="9"/>
  <c r="AE216" i="2"/>
  <c r="AE215" i="2" s="1"/>
  <c r="I146" i="7"/>
  <c r="I145" i="7" s="1"/>
  <c r="I134" i="7" s="1"/>
  <c r="I133" i="7" s="1"/>
  <c r="D466" i="9"/>
  <c r="D465" i="9" s="1"/>
  <c r="J592" i="7"/>
  <c r="J591" i="7" s="1"/>
  <c r="J108" i="7"/>
  <c r="F466" i="9"/>
  <c r="F465" i="9" s="1"/>
  <c r="H59" i="7"/>
  <c r="H58" i="7" s="1"/>
  <c r="H57" i="7" s="1"/>
  <c r="H56" i="7" s="1"/>
  <c r="F285" i="9"/>
  <c r="J146" i="7"/>
  <c r="J145" i="7" s="1"/>
  <c r="D107" i="9"/>
  <c r="D96" i="9" s="1"/>
  <c r="D95" i="9" s="1"/>
  <c r="F37" i="7"/>
  <c r="F30" i="7" s="1"/>
  <c r="F23" i="7" s="1"/>
  <c r="F769" i="9"/>
  <c r="F234" i="9"/>
  <c r="F233" i="9" s="1"/>
  <c r="F232" i="9" s="1"/>
  <c r="D234" i="9"/>
  <c r="D233" i="9" s="1"/>
  <c r="D232" i="9" s="1"/>
  <c r="E759" i="9"/>
  <c r="E234" i="9"/>
  <c r="E233" i="9" s="1"/>
  <c r="E232" i="9" s="1"/>
  <c r="J59" i="7"/>
  <c r="J58" i="7" s="1"/>
  <c r="J57" i="7" s="1"/>
  <c r="J56" i="7" s="1"/>
  <c r="F185" i="9"/>
  <c r="J266" i="7"/>
  <c r="J296" i="7"/>
  <c r="J295" i="7" s="1"/>
  <c r="H51" i="7"/>
  <c r="H50" i="7" s="1"/>
  <c r="H49" i="7" s="1"/>
  <c r="H48" i="7" s="1"/>
  <c r="F51" i="9"/>
  <c r="F50" i="9" s="1"/>
  <c r="F49" i="9" s="1"/>
  <c r="F266" i="7"/>
  <c r="H30" i="7"/>
  <c r="H23" i="7" s="1"/>
  <c r="E275" i="9"/>
  <c r="K146" i="7"/>
  <c r="K145" i="7" s="1"/>
  <c r="K134" i="7" s="1"/>
  <c r="K133" i="7" s="1"/>
  <c r="K132" i="7" s="1"/>
  <c r="F486" i="9"/>
  <c r="F899" i="7"/>
  <c r="F898" i="7" s="1"/>
  <c r="F900" i="7"/>
  <c r="I925" i="7"/>
  <c r="E32" i="10"/>
  <c r="F759" i="9"/>
  <c r="F460" i="9"/>
  <c r="F459" i="9" s="1"/>
  <c r="F461" i="9"/>
  <c r="E460" i="9"/>
  <c r="E459" i="9" s="1"/>
  <c r="E461" i="9"/>
  <c r="D460" i="9"/>
  <c r="D459" i="9" s="1"/>
  <c r="D461" i="9"/>
  <c r="J936" i="7"/>
  <c r="J935" i="7" s="1"/>
  <c r="J931" i="7" s="1"/>
  <c r="F367" i="9"/>
  <c r="F366" i="9" s="1"/>
  <c r="F365" i="9" s="1"/>
  <c r="F361" i="9" s="1"/>
  <c r="E16" i="10"/>
  <c r="D16" i="10"/>
  <c r="F482" i="9" l="1"/>
  <c r="D482" i="9"/>
  <c r="D481" i="9" s="1"/>
  <c r="H824" i="7"/>
  <c r="H823" i="7" s="1"/>
  <c r="E52" i="10" s="1"/>
  <c r="E51" i="10" s="1"/>
  <c r="H742" i="7"/>
  <c r="H733" i="7" s="1"/>
  <c r="H715" i="7" s="1"/>
  <c r="J742" i="7"/>
  <c r="J733" i="7" s="1"/>
  <c r="J715" i="7" s="1"/>
  <c r="H47" i="7"/>
  <c r="J47" i="7"/>
  <c r="F18" i="10" s="1"/>
  <c r="G48" i="7"/>
  <c r="K48" i="7"/>
  <c r="I48" i="7"/>
  <c r="I47" i="7" s="1"/>
  <c r="F824" i="7"/>
  <c r="F823" i="7" s="1"/>
  <c r="D19" i="9"/>
  <c r="J824" i="7"/>
  <c r="J823" i="7" s="1"/>
  <c r="AD433" i="2"/>
  <c r="D556" i="9"/>
  <c r="E556" i="9"/>
  <c r="F556" i="9"/>
  <c r="AD402" i="2"/>
  <c r="AD401" i="2"/>
  <c r="AD362" i="2" s="1"/>
  <c r="D215" i="9"/>
  <c r="D214" i="9" s="1"/>
  <c r="D208" i="9" s="1"/>
  <c r="F811" i="7"/>
  <c r="G920" i="7"/>
  <c r="G919" i="7" s="1"/>
  <c r="G918" i="7" s="1"/>
  <c r="G917" i="7" s="1"/>
  <c r="G916" i="7" s="1"/>
  <c r="G897" i="7" s="1"/>
  <c r="I920" i="7"/>
  <c r="I919" i="7" s="1"/>
  <c r="I918" i="7" s="1"/>
  <c r="I917" i="7" s="1"/>
  <c r="F272" i="9"/>
  <c r="F271" i="9" s="1"/>
  <c r="F270" i="9" s="1"/>
  <c r="F269" i="9" s="1"/>
  <c r="E272" i="9"/>
  <c r="E271" i="9" s="1"/>
  <c r="E270" i="9" s="1"/>
  <c r="E269" i="9" s="1"/>
  <c r="H649" i="7"/>
  <c r="H648" i="7" s="1"/>
  <c r="H647" i="7" s="1"/>
  <c r="F481" i="9"/>
  <c r="J649" i="7"/>
  <c r="E597" i="9"/>
  <c r="E94" i="9"/>
  <c r="F650" i="7"/>
  <c r="F649" i="7" s="1"/>
  <c r="D94" i="9"/>
  <c r="F597" i="9"/>
  <c r="AD91" i="2"/>
  <c r="AD75" i="2" s="1"/>
  <c r="AD74" i="2" s="1"/>
  <c r="AD13" i="2" s="1"/>
  <c r="AF91" i="2"/>
  <c r="AF75" i="2" s="1"/>
  <c r="AF74" i="2" s="1"/>
  <c r="AF13" i="2" s="1"/>
  <c r="AE91" i="2"/>
  <c r="AE75" i="2" s="1"/>
  <c r="AE74" i="2" s="1"/>
  <c r="AE13" i="2" s="1"/>
  <c r="H955" i="7"/>
  <c r="J515" i="7"/>
  <c r="J482" i="7" s="1"/>
  <c r="H515" i="7"/>
  <c r="H482" i="7" s="1"/>
  <c r="D446" i="9"/>
  <c r="D445" i="9" s="1"/>
  <c r="F484" i="7"/>
  <c r="F483" i="7" s="1"/>
  <c r="AE417" i="2"/>
  <c r="E18" i="10"/>
  <c r="H90" i="7"/>
  <c r="E19" i="10" s="1"/>
  <c r="J90" i="7"/>
  <c r="F19" i="10" s="1"/>
  <c r="H261" i="7"/>
  <c r="H260" i="7" s="1"/>
  <c r="H259" i="7" s="1"/>
  <c r="F261" i="7"/>
  <c r="J261" i="7"/>
  <c r="J260" i="7" s="1"/>
  <c r="J259" i="7" s="1"/>
  <c r="F19" i="9"/>
  <c r="E19" i="9"/>
  <c r="F173" i="9"/>
  <c r="E653" i="9"/>
  <c r="AF417" i="2"/>
  <c r="AF362" i="2"/>
  <c r="J760" i="7"/>
  <c r="F49" i="10" s="1"/>
  <c r="H760" i="7"/>
  <c r="E49" i="10" s="1"/>
  <c r="H980" i="7"/>
  <c r="H979" i="7"/>
  <c r="I132" i="7"/>
  <c r="J980" i="7"/>
  <c r="J979" i="7"/>
  <c r="F91" i="7"/>
  <c r="I929" i="7"/>
  <c r="F929" i="7"/>
  <c r="F916" i="7" s="1"/>
  <c r="F897" i="7" s="1"/>
  <c r="F953" i="7"/>
  <c r="F624" i="7"/>
  <c r="F623" i="7" s="1"/>
  <c r="J624" i="7"/>
  <c r="J623" i="7" s="1"/>
  <c r="H624" i="7"/>
  <c r="H623" i="7" s="1"/>
  <c r="D17" i="10"/>
  <c r="E17" i="10"/>
  <c r="D284" i="9"/>
  <c r="D283" i="9" s="1"/>
  <c r="F284" i="9"/>
  <c r="F283" i="9" s="1"/>
  <c r="D652" i="9"/>
  <c r="F653" i="9"/>
  <c r="F768" i="7"/>
  <c r="F627" i="9"/>
  <c r="F294" i="7"/>
  <c r="F293" i="7" s="1"/>
  <c r="J294" i="7"/>
  <c r="H228" i="7"/>
  <c r="E24" i="10"/>
  <c r="E23" i="10" s="1"/>
  <c r="D24" i="10"/>
  <c r="D23" i="10" s="1"/>
  <c r="F228" i="7"/>
  <c r="F24" i="10"/>
  <c r="F23" i="10" s="1"/>
  <c r="AE214" i="2"/>
  <c r="H162" i="7"/>
  <c r="J162" i="7"/>
  <c r="AF163" i="2"/>
  <c r="K916" i="7"/>
  <c r="K897" i="7" s="1"/>
  <c r="E536" i="9"/>
  <c r="E482" i="9" s="1"/>
  <c r="F188" i="7"/>
  <c r="F742" i="7"/>
  <c r="F733" i="7" s="1"/>
  <c r="F715" i="7" s="1"/>
  <c r="D56" i="10"/>
  <c r="F752" i="9"/>
  <c r="E752" i="9"/>
  <c r="AF402" i="2"/>
  <c r="AE402" i="2"/>
  <c r="AE401" i="2"/>
  <c r="AE362" i="2" s="1"/>
  <c r="I733" i="7"/>
  <c r="I715" i="7" s="1"/>
  <c r="E214" i="9"/>
  <c r="E208" i="9" s="1"/>
  <c r="J590" i="7"/>
  <c r="J582" i="7" s="1"/>
  <c r="J575" i="7" s="1"/>
  <c r="H590" i="7"/>
  <c r="H582" i="7" s="1"/>
  <c r="H575" i="7" s="1"/>
  <c r="F590" i="7"/>
  <c r="D32" i="10"/>
  <c r="F360" i="9"/>
  <c r="F359" i="9" s="1"/>
  <c r="E360" i="9"/>
  <c r="E359" i="9" s="1"/>
  <c r="J930" i="7"/>
  <c r="J929" i="7" s="1"/>
  <c r="J916" i="7" s="1"/>
  <c r="H930" i="7"/>
  <c r="H929" i="7" s="1"/>
  <c r="H334" i="7"/>
  <c r="D627" i="9"/>
  <c r="D35" i="10"/>
  <c r="H811" i="7"/>
  <c r="H805" i="7" s="1"/>
  <c r="AD163" i="2"/>
  <c r="E445" i="9"/>
  <c r="F445" i="9"/>
  <c r="D64" i="10"/>
  <c r="D63" i="10" s="1"/>
  <c r="H134" i="7"/>
  <c r="F134" i="7"/>
  <c r="F221" i="9"/>
  <c r="F215" i="9" s="1"/>
  <c r="J811" i="7"/>
  <c r="J805" i="7" s="1"/>
  <c r="J134" i="7"/>
  <c r="H296" i="7"/>
  <c r="H295" i="7" s="1"/>
  <c r="E285" i="9"/>
  <c r="F108" i="7"/>
  <c r="F61" i="10"/>
  <c r="F60" i="10" s="1"/>
  <c r="I15" i="7" l="1"/>
  <c r="F163" i="7"/>
  <c r="F162" i="7" s="1"/>
  <c r="F133" i="7" s="1"/>
  <c r="F132" i="7" s="1"/>
  <c r="K47" i="7"/>
  <c r="K15" i="7" s="1"/>
  <c r="G47" i="7"/>
  <c r="G15" i="7" s="1"/>
  <c r="H954" i="7"/>
  <c r="H953" i="7" s="1"/>
  <c r="AD418" i="2"/>
  <c r="AD417" i="2" s="1"/>
  <c r="AD416" i="2" s="1"/>
  <c r="F805" i="7"/>
  <c r="F804" i="7" s="1"/>
  <c r="F803" i="7" s="1"/>
  <c r="F784" i="7" s="1"/>
  <c r="I916" i="7"/>
  <c r="I897" i="7" s="1"/>
  <c r="AE213" i="2"/>
  <c r="AE163" i="2" s="1"/>
  <c r="J293" i="7"/>
  <c r="F29" i="10" s="1"/>
  <c r="F767" i="7"/>
  <c r="F760" i="7" s="1"/>
  <c r="D49" i="10" s="1"/>
  <c r="F94" i="9"/>
  <c r="J804" i="7"/>
  <c r="J803" i="7" s="1"/>
  <c r="J784" i="7" s="1"/>
  <c r="H804" i="7"/>
  <c r="H803" i="7" s="1"/>
  <c r="H784" i="7" s="1"/>
  <c r="F260" i="7"/>
  <c r="F259" i="7" s="1"/>
  <c r="D29" i="10"/>
  <c r="F515" i="7"/>
  <c r="F90" i="7"/>
  <c r="F15" i="7" s="1"/>
  <c r="F648" i="7"/>
  <c r="F647" i="7" s="1"/>
  <c r="AF416" i="2"/>
  <c r="G396" i="7"/>
  <c r="G622" i="7"/>
  <c r="K622" i="7"/>
  <c r="E481" i="9"/>
  <c r="E444" i="9" s="1"/>
  <c r="J822" i="7"/>
  <c r="AE416" i="2"/>
  <c r="E28" i="10"/>
  <c r="E284" i="9"/>
  <c r="E283" i="9" s="1"/>
  <c r="D37" i="10"/>
  <c r="H294" i="7"/>
  <c r="H293" i="7" s="1"/>
  <c r="J133" i="7"/>
  <c r="J132" i="7" s="1"/>
  <c r="J15" i="7" s="1"/>
  <c r="H133" i="7"/>
  <c r="H132" i="7" s="1"/>
  <c r="H15" i="7" s="1"/>
  <c r="H916" i="7"/>
  <c r="H897" i="7" s="1"/>
  <c r="J897" i="7"/>
  <c r="F582" i="7"/>
  <c r="F575" i="7" s="1"/>
  <c r="F822" i="7"/>
  <c r="D444" i="9"/>
  <c r="D751" i="9" s="1"/>
  <c r="D811" i="9" s="1"/>
  <c r="F444" i="9"/>
  <c r="E48" i="10"/>
  <c r="AF284" i="2"/>
  <c r="AF283" i="2" s="1"/>
  <c r="AE284" i="2"/>
  <c r="AE283" i="2" s="1"/>
  <c r="AD284" i="2"/>
  <c r="AD283" i="2" s="1"/>
  <c r="D58" i="10"/>
  <c r="D55" i="10" s="1"/>
  <c r="F58" i="10"/>
  <c r="F55" i="10" s="1"/>
  <c r="F17" i="10"/>
  <c r="F46" i="10"/>
  <c r="E46" i="10"/>
  <c r="I622" i="7"/>
  <c r="F214" i="9"/>
  <c r="F208" i="9" s="1"/>
  <c r="E40" i="10"/>
  <c r="D18" i="10"/>
  <c r="D46" i="10"/>
  <c r="F40" i="10"/>
  <c r="E33" i="10"/>
  <c r="E30" i="10" s="1"/>
  <c r="H309" i="7"/>
  <c r="E61" i="10"/>
  <c r="E60" i="10" s="1"/>
  <c r="D33" i="10"/>
  <c r="D30" i="10" s="1"/>
  <c r="D48" i="10"/>
  <c r="F48" i="10"/>
  <c r="F35" i="10"/>
  <c r="H822" i="7"/>
  <c r="D19" i="10" l="1"/>
  <c r="F482" i="7"/>
  <c r="D39" i="10" s="1"/>
  <c r="I987" i="7"/>
  <c r="AF12" i="2"/>
  <c r="AE12" i="2"/>
  <c r="G987" i="7"/>
  <c r="AD12" i="2"/>
  <c r="AD1147" i="2" s="1"/>
  <c r="D50" i="10"/>
  <c r="F243" i="7"/>
  <c r="D28" i="10"/>
  <c r="D26" i="10" s="1"/>
  <c r="J648" i="7"/>
  <c r="J647" i="7" s="1"/>
  <c r="E47" i="10"/>
  <c r="F52" i="10"/>
  <c r="F51" i="10" s="1"/>
  <c r="D40" i="10"/>
  <c r="F50" i="10"/>
  <c r="AF927" i="2"/>
  <c r="AF926" i="2" s="1"/>
  <c r="J364" i="7"/>
  <c r="J363" i="7" s="1"/>
  <c r="E58" i="10"/>
  <c r="E55" i="10" s="1"/>
  <c r="E29" i="10"/>
  <c r="E26" i="10" s="1"/>
  <c r="H243" i="7"/>
  <c r="D52" i="10"/>
  <c r="D51" i="10" s="1"/>
  <c r="F622" i="7"/>
  <c r="E50" i="10"/>
  <c r="D61" i="10"/>
  <c r="D60" i="10" s="1"/>
  <c r="J243" i="7"/>
  <c r="F28" i="10"/>
  <c r="F26" i="10" s="1"/>
  <c r="F309" i="7"/>
  <c r="D47" i="10"/>
  <c r="AF925" i="2" l="1"/>
  <c r="AF924" i="2" s="1"/>
  <c r="AF923" i="2" s="1"/>
  <c r="D45" i="10"/>
  <c r="F47" i="10"/>
  <c r="F45" i="10" s="1"/>
  <c r="J362" i="7"/>
  <c r="H622" i="7"/>
  <c r="E45" i="10"/>
  <c r="E22" i="10"/>
  <c r="E15" i="10" s="1"/>
  <c r="D22" i="10"/>
  <c r="D15" i="10" s="1"/>
  <c r="F22" i="10"/>
  <c r="F15" i="10" s="1"/>
  <c r="F705" i="9"/>
  <c r="E37" i="10"/>
  <c r="F37" i="10"/>
  <c r="E704" i="9"/>
  <c r="E703" i="9" s="1"/>
  <c r="E680" i="9" s="1"/>
  <c r="E679" i="9" l="1"/>
  <c r="E652" i="9" s="1"/>
  <c r="J361" i="7"/>
  <c r="J360" i="7" s="1"/>
  <c r="J359" i="7" s="1"/>
  <c r="J334" i="7" s="1"/>
  <c r="AF903" i="2"/>
  <c r="AF893" i="2" s="1"/>
  <c r="J622" i="7"/>
  <c r="AE994" i="2"/>
  <c r="AE993" i="2" s="1"/>
  <c r="AE929" i="2" s="1"/>
  <c r="F704" i="9"/>
  <c r="F703" i="9" s="1"/>
  <c r="F680" i="9" s="1"/>
  <c r="F679" i="9" l="1"/>
  <c r="F652" i="9" s="1"/>
  <c r="AE879" i="2"/>
  <c r="AE1147" i="2" s="1"/>
  <c r="F38" i="10"/>
  <c r="E38" i="10"/>
  <c r="F396" i="7"/>
  <c r="F987" i="7" s="1"/>
  <c r="D38" i="10"/>
  <c r="D36" i="10" s="1"/>
  <c r="D65" i="10" s="1"/>
  <c r="F33" i="10"/>
  <c r="F30" i="10" s="1"/>
  <c r="J309" i="7"/>
  <c r="AF994" i="2"/>
  <c r="AF993" i="2" s="1"/>
  <c r="AF929" i="2" s="1"/>
  <c r="E39" i="10"/>
  <c r="H396" i="7"/>
  <c r="H987" i="7" s="1"/>
  <c r="E751" i="9" l="1"/>
  <c r="E811" i="9" s="1"/>
  <c r="AF879" i="2"/>
  <c r="AF1147" i="2" s="1"/>
  <c r="E36" i="10"/>
  <c r="E65" i="10" s="1"/>
  <c r="J396" i="7"/>
  <c r="J987" i="7" s="1"/>
  <c r="F39" i="10"/>
  <c r="F36" i="10" s="1"/>
  <c r="F65" i="10" s="1"/>
  <c r="F751" i="9" l="1"/>
  <c r="F811" i="9" s="1"/>
  <c r="K313" i="7"/>
  <c r="K312" i="7" s="1"/>
  <c r="K311" i="7" s="1"/>
  <c r="K310" i="7" s="1"/>
  <c r="K309" i="7" s="1"/>
  <c r="K987" i="7" s="1"/>
</calcChain>
</file>

<file path=xl/sharedStrings.xml><?xml version="1.0" encoding="utf-8"?>
<sst xmlns="http://schemas.openxmlformats.org/spreadsheetml/2006/main" count="10802" uniqueCount="911">
  <si>
    <t>Рз</t>
  </si>
  <si>
    <t>ЦСР</t>
  </si>
  <si>
    <t>Жилищно-коммунальное хозяйство</t>
  </si>
  <si>
    <t>Образование</t>
  </si>
  <si>
    <t>05</t>
  </si>
  <si>
    <t>002</t>
  </si>
  <si>
    <t>03</t>
  </si>
  <si>
    <t>07</t>
  </si>
  <si>
    <t xml:space="preserve">Бюджетные инвестиции </t>
  </si>
  <si>
    <t>Функционирование высшего должностного лица субъекта Российской Федерации и муниципального образования</t>
  </si>
  <si>
    <t>Национальная оборона</t>
  </si>
  <si>
    <t>Мобилизационная  и  вневойсковая  подготовка</t>
  </si>
  <si>
    <t>Физическая  культура  и  спорт</t>
  </si>
  <si>
    <t>Другие общегосударственные вопросы</t>
  </si>
  <si>
    <t>Сельское хозяйство и рыболовство</t>
  </si>
  <si>
    <t>08</t>
  </si>
  <si>
    <t>Код главного распоря-
дителя</t>
  </si>
  <si>
    <t>Благоустройство</t>
  </si>
  <si>
    <t>Дошкольное образование</t>
  </si>
  <si>
    <t>ПР</t>
  </si>
  <si>
    <t>Культура,  кинематография</t>
  </si>
  <si>
    <t>09</t>
  </si>
  <si>
    <t>Капитальные вложения в объекты  государственной (муниципальной) собственности</t>
  </si>
  <si>
    <t>Социальные выплаты гражданам, кроме публичных  нормативных  социальных  выплат</t>
  </si>
  <si>
    <t>Общегосударственные вопросы</t>
  </si>
  <si>
    <t>003</t>
  </si>
  <si>
    <t>Другие вопросы в области жилищно-коммунального хозяйства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</si>
  <si>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</si>
  <si>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</t>
  </si>
  <si>
    <t>02</t>
  </si>
  <si>
    <t>Охрана семьи и детства</t>
  </si>
  <si>
    <t>Связь и информатика</t>
  </si>
  <si>
    <t xml:space="preserve">Другие  вопросы  в  области  социальной  политики  </t>
  </si>
  <si>
    <t>Общее образование</t>
  </si>
  <si>
    <t>Массовый  спорт</t>
  </si>
  <si>
    <t>10</t>
  </si>
  <si>
    <t>200</t>
  </si>
  <si>
    <t xml:space="preserve"> Другие вопросы в области образования</t>
  </si>
  <si>
    <t>Охрана окружающей среды</t>
  </si>
  <si>
    <t>Социальные выплаты гражданам, кроме публичных нормативных социальных выплат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</si>
  <si>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</si>
  <si>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Иные бюджетные ассигнования</t>
  </si>
  <si>
    <t>Обеспечение проведения выборов и референдумов</t>
  </si>
  <si>
    <t>14</t>
  </si>
  <si>
    <t>Национальная экономика</t>
  </si>
  <si>
    <t>Национальная безопасность и правоохранительная деятельность</t>
  </si>
  <si>
    <t>Мобилизационная  подготовка  экономики</t>
  </si>
  <si>
    <t>Обеспечивающая подпрограмма</t>
  </si>
  <si>
    <t>04</t>
  </si>
  <si>
    <t xml:space="preserve">В С Е Г О   Р А С Х О Д О В </t>
  </si>
  <si>
    <t>Другие вопросы в области национальной экономики</t>
  </si>
  <si>
    <t>Иные закупки товаров, работ и услуг для обеспечения государственных (муниципальных) нужд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</si>
  <si>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</si>
  <si>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</si>
  <si>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Пенсионное обеспечение</t>
  </si>
  <si>
    <t>ВСЕГО</t>
  </si>
  <si>
    <t>Уплата налогов, сборов и иных платежей</t>
  </si>
  <si>
    <t>Социальное обеспечение населения</t>
  </si>
  <si>
    <t>005</t>
  </si>
  <si>
    <t>Предоставление субсидий бюджетным, автономным учреждениям и иным некоммерческим организациям</t>
  </si>
  <si>
    <t>Субсидии бюджетным учреждениям</t>
  </si>
  <si>
    <t>ВР</t>
  </si>
  <si>
    <t>001</t>
  </si>
  <si>
    <t xml:space="preserve">Культура </t>
  </si>
  <si>
    <t>240</t>
  </si>
  <si>
    <t>904</t>
  </si>
  <si>
    <t>Обслуживание государственного (муниципального) долга</t>
  </si>
  <si>
    <t>Расходы на выплаты персоналу казенных учреждений</t>
  </si>
  <si>
    <t xml:space="preserve"> Жилищное хозяйство</t>
  </si>
  <si>
    <t>Обеспечение  деятельности  финансовых, налоговых  и  таможенных  органов  и  органов  финансового  (финансово-бюджетного)  надзора</t>
  </si>
  <si>
    <t>Транспорт</t>
  </si>
  <si>
    <t>Наименования</t>
  </si>
  <si>
    <t xml:space="preserve">  Обеспечение  деятельности  финансовых,налоговых  и  таможенных  органов  и  органов  финансового  (финансово-бюджетного)  надзора</t>
  </si>
  <si>
    <t xml:space="preserve">  Мобилизационная  и  вневойсковая  подготовка</t>
  </si>
  <si>
    <t xml:space="preserve">  Мобилизационная  подготовка  экономики</t>
  </si>
  <si>
    <t xml:space="preserve">  Другие  вопросы  в  области  национальной  безопасности  и  правоохранительной  деятельности</t>
  </si>
  <si>
    <t xml:space="preserve">  Транспорт</t>
  </si>
  <si>
    <t xml:space="preserve">  Дорожное  хозяйство  (дорожные  фонды)  </t>
  </si>
  <si>
    <t xml:space="preserve">  Другие вопросы в области национальной экономики</t>
  </si>
  <si>
    <t xml:space="preserve">  Жилищное хозяйство</t>
  </si>
  <si>
    <t xml:space="preserve">  Благоустройство</t>
  </si>
  <si>
    <t xml:space="preserve">  Другие вопросы в области жилищно-коммунального хозяйства</t>
  </si>
  <si>
    <t xml:space="preserve">  Дошкольное образование</t>
  </si>
  <si>
    <t xml:space="preserve">  Общее образование</t>
  </si>
  <si>
    <t xml:space="preserve">  Другие вопросы в области образования</t>
  </si>
  <si>
    <t xml:space="preserve">  Культура </t>
  </si>
  <si>
    <t xml:space="preserve">  Пенсионное обеспечение</t>
  </si>
  <si>
    <t xml:space="preserve">  Охрана семьи и детства</t>
  </si>
  <si>
    <t xml:space="preserve">  Другие  вопросы  в  области  социальной  политики  </t>
  </si>
  <si>
    <t xml:space="preserve">  Массовый  спорт</t>
  </si>
  <si>
    <t>Сбор, удаление отходов и очистка сточных вод</t>
  </si>
  <si>
    <t xml:space="preserve">Дорожное  хозяйство  (дорожные  фонды)  </t>
  </si>
  <si>
    <t>Социальная политика</t>
  </si>
  <si>
    <t>06</t>
  </si>
  <si>
    <t>Расходы на выплаты персоналу государственных (муниципальных) органов</t>
  </si>
  <si>
    <t>Социальное обеспечение и иные выплаты населению</t>
  </si>
  <si>
    <t xml:space="preserve">  Связь и информатика</t>
  </si>
  <si>
    <t>95 0 00 00000</t>
  </si>
  <si>
    <t>03 0 00 00000</t>
  </si>
  <si>
    <t>03 2 00 00000</t>
  </si>
  <si>
    <t>08 0 00 00000</t>
  </si>
  <si>
    <t>08 3 00 00000</t>
  </si>
  <si>
    <t>08 4 00 00000</t>
  </si>
  <si>
    <t>08 6 00 00000</t>
  </si>
  <si>
    <t>08 1 00 00000</t>
  </si>
  <si>
    <t>08 2 00 00000</t>
  </si>
  <si>
    <t>08 5 00 00000</t>
  </si>
  <si>
    <t>04 0 00 00000</t>
  </si>
  <si>
    <t>04 2 00 00000</t>
  </si>
  <si>
    <t>10 0 00 00000</t>
  </si>
  <si>
    <t>12 0 00 00000</t>
  </si>
  <si>
    <t>12 1 00 00000</t>
  </si>
  <si>
    <t>02 0 00 00000</t>
  </si>
  <si>
    <t>05 0 00 00000</t>
  </si>
  <si>
    <t>09 0 00 00000</t>
  </si>
  <si>
    <t>03 1 00 00000</t>
  </si>
  <si>
    <t>04 1 00 00000</t>
  </si>
  <si>
    <t>05 1 00 00000</t>
  </si>
  <si>
    <t>Закупка товаров, работ и услуг для обеспечения государственных (муниципальных) нужд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</si>
  <si>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</si>
  <si>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Выплата компенсации  родительской платы за присмотр  и  уход  за  детьми,  осваивающими  образовательные  программы  дошкольного  образования  в  организациях  Московской  области,  осуществляющих  образовательную  деятельность</t>
  </si>
  <si>
    <t>08 1 02 00000</t>
  </si>
  <si>
    <t>08 3 01 00000</t>
  </si>
  <si>
    <t>08 4 01 00000</t>
  </si>
  <si>
    <t>03 1 02 00000</t>
  </si>
  <si>
    <t>100</t>
  </si>
  <si>
    <t>110</t>
  </si>
  <si>
    <t>05 1 01 00000</t>
  </si>
  <si>
    <t>Субсидии  автономным  учреждениям</t>
  </si>
  <si>
    <t>Публичные нормативные социальные выплаты гражданам</t>
  </si>
  <si>
    <t>13 0 00 00000</t>
  </si>
  <si>
    <t xml:space="preserve">  Молодежная политика </t>
  </si>
  <si>
    <t>Дополнительное образование детей</t>
  </si>
  <si>
    <t xml:space="preserve">Молодежная политика </t>
  </si>
  <si>
    <t>Резервные  средства</t>
  </si>
  <si>
    <t>99 0 00 00000</t>
  </si>
  <si>
    <t>06 0 00 00000</t>
  </si>
  <si>
    <t>Администрация  городского округа  Лыткарино</t>
  </si>
  <si>
    <t>02 3 00 00000</t>
  </si>
  <si>
    <t>02 3 01 00000</t>
  </si>
  <si>
    <t>09 2 01 00000</t>
  </si>
  <si>
    <t>09 2 00 00000</t>
  </si>
  <si>
    <t>09 3 01 60820</t>
  </si>
  <si>
    <t>09 3 01 00000</t>
  </si>
  <si>
    <t>09 3 00 00000</t>
  </si>
  <si>
    <t xml:space="preserve">  Дополнительное образование детей</t>
  </si>
  <si>
    <t xml:space="preserve">  Сельское хозяйство и рыболовство</t>
  </si>
  <si>
    <t>(тыс.руб.)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</si>
  <si>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</si>
  <si>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Другие  вопросы  в  области  национальной  безопасности  и  правоохранительной  деятельности</t>
  </si>
  <si>
    <t xml:space="preserve">  Другие общегосударственные вопросы</t>
  </si>
  <si>
    <t>Капитальные вложения в объекты государственной(муниципальной) собственности</t>
  </si>
  <si>
    <t>400</t>
  </si>
  <si>
    <t>410</t>
  </si>
  <si>
    <t>Внедрение и обеспечение функционирования модели персонифицированного финансирования дополнительного образования детей</t>
  </si>
  <si>
    <t xml:space="preserve">Муниципальная программа «Спорт»                    </t>
  </si>
  <si>
    <t>Подпрограмма «Развитие физической культуры и спорта»</t>
  </si>
  <si>
    <t>Организация проведения официальных физкультурно-оздоровительных и спортивных мероприятий</t>
  </si>
  <si>
    <t>05 1 01 00570</t>
  </si>
  <si>
    <t xml:space="preserve">Муниципальная программа «Безопасность и обеспечение безопасности жизнедеятельности населения»                    </t>
  </si>
  <si>
    <t>Подпрограмма «Профилактика преступлений и иных правонарушений»</t>
  </si>
  <si>
    <t>Основное мероприятие «Обеспечение деятельности общественных объединений правоохранительной направленности»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</si>
  <si>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</si>
  <si>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08 1 02 00780</t>
  </si>
  <si>
    <t>08 1 03 00000</t>
  </si>
  <si>
    <t>Основное мероприятие «Развертывание элементов системы технологического обеспечения региональной общественной безопасности и оперативного управления «Безопасный регион»</t>
  </si>
  <si>
    <t>08 1 04 00000</t>
  </si>
  <si>
    <t>Осуществление мероприятий в сфере профилактики правонарушений</t>
  </si>
  <si>
    <t>08 1 04 00900</t>
  </si>
  <si>
    <t>08 2 02 00000</t>
  </si>
  <si>
    <t>Осуществление мероприятий по обеспечению безопасности людей на водных объектах, охране их жизни и здоровья</t>
  </si>
  <si>
    <t>08 4 01 00360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</si>
  <si>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</si>
  <si>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08 3 01 00690</t>
  </si>
  <si>
    <t xml:space="preserve">Содержание и развитие муниципальных экстренных оперативных служб </t>
  </si>
  <si>
    <t>08 6 01 01020</t>
  </si>
  <si>
    <t>Реализация мероприятий по обеспечению жильем молодых семей</t>
  </si>
  <si>
    <t>09 2 01 L4970</t>
  </si>
  <si>
    <t>Подпрограмма «Обеспечение жильем молодых семей»</t>
  </si>
  <si>
    <t xml:space="preserve">Муниципальная программа «Жилище»                    </t>
  </si>
  <si>
    <t>Основное мероприятие «Управление имуществом, находящимся в муниципальной собственности, и выполнение кадастровых работ»</t>
  </si>
  <si>
    <t>12 1 02 00000</t>
  </si>
  <si>
    <t>Владение, пользование и распоряжение имуществом, находящимся в муниципальной собственности городского округа</t>
  </si>
  <si>
    <t>12 1 02 00170</t>
  </si>
  <si>
    <t xml:space="preserve">Муниципальная программа «Управление имуществом и муниципальными финансами»   </t>
  </si>
  <si>
    <t>12 1 03 00000</t>
  </si>
  <si>
    <t xml:space="preserve">Обслуживание муниципального долга </t>
  </si>
  <si>
    <t xml:space="preserve">Обеспечивающая подпрограмма   </t>
  </si>
  <si>
    <t>12 5 00 00000</t>
  </si>
  <si>
    <t xml:space="preserve">Основное мероприятие «Создание условий для реализации полномочий органов местного самоуправления» </t>
  </si>
  <si>
    <t>12 5 01 00000</t>
  </si>
  <si>
    <t>Функционирование высшего должностного лица</t>
  </si>
  <si>
    <t>12 5 01 00110</t>
  </si>
  <si>
    <t>Обеспечение деятельности администрации</t>
  </si>
  <si>
    <t>12 5 01 00120</t>
  </si>
  <si>
    <t>Обеспечение деятельности администрации (расходы на обеспечение деятельности органов местного самоуправления)</t>
  </si>
  <si>
    <t>12 5 01 00121</t>
  </si>
  <si>
    <t>Обеспечение деятельности администрации (расходы  на  содержание  лиц,  замещающих должности, не являющиеся должностями муниципальной  службы)</t>
  </si>
  <si>
    <t>12 5 01 00122</t>
  </si>
  <si>
    <t>Обеспечение деятельности администрации (расходы  на  содержание  лиц,  замещающих должности  муниципальной  службы)</t>
  </si>
  <si>
    <t>12 5 01 00123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</si>
  <si>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</si>
  <si>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12 5 01 06090</t>
  </si>
  <si>
    <t>Обеспечение деятельности органов местного самоуправления</t>
  </si>
  <si>
    <t>Обеспечение деятельности органов местного самоуправления (расходы на обеспечение деятельности органов местного самоуправления)</t>
  </si>
  <si>
    <t>Обеспечение деятельности органов местного самоуправления (расходы  на  содержание  лиц,  замещающих должности, не являющиеся должностями муниципальной  службы)</t>
  </si>
  <si>
    <t>Обеспечение деятельности органов местного самоуправления (расходы  на  содержание  лиц,  замещающих должности  муниципальной  службы)</t>
  </si>
  <si>
    <t>Обеспечение деятельности финансового органа</t>
  </si>
  <si>
    <t>12 5 01 00160</t>
  </si>
  <si>
    <t>Обеспечение деятельности финансового органа (расходы на обеспечение деятельности органов местного самоуправления)</t>
  </si>
  <si>
    <t>12 5 01 00161</t>
  </si>
  <si>
    <t>12 5 01 00162</t>
  </si>
  <si>
    <t>12 5 01 00163</t>
  </si>
  <si>
    <t>Обеспечение деятельности финансового органа (расходы  на  содержание  лиц,  замещающих должности  муниципальной  службы)</t>
  </si>
  <si>
    <t>Обеспечение деятельности финансового органа (расходы  на  содержание  лиц,  замещающих должности, не являющиеся должностями муниципальной  службы)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</si>
  <si>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</si>
  <si>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12 5 01 06070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</si>
  <si>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самоуправления( "Управление обеспечения деятельности Администрации города Лыткарино")</t>
  </si>
  <si>
    <t>12 5 01 06092</t>
  </si>
  <si>
    <t xml:space="preserve">Организация и осуществление мероприятий по мобилизационной подготовке </t>
  </si>
  <si>
    <t>12 5 01 00720</t>
  </si>
  <si>
    <t>Взносы в общественные организации</t>
  </si>
  <si>
    <t>12 5 01 00870</t>
  </si>
  <si>
    <t xml:space="preserve">Непрограммные расходы                    </t>
  </si>
  <si>
    <t xml:space="preserve">Муниципальная программа «Развитие и функционирование дорожно-транспортного комплекса»                </t>
  </si>
  <si>
    <t>14 0 00 00000</t>
  </si>
  <si>
    <t>Подпрограмма «Пассажирский транспорт общего пользования»</t>
  </si>
  <si>
    <t>14 1 00 00000</t>
  </si>
  <si>
    <t>Создание условий для предоставления транспортных услуг населению и организация транспортного обслуживания населения в границах городского округа (в части автомобильного транспорта)</t>
  </si>
  <si>
    <t>Подпрограмма «Дороги Подмосковья»</t>
  </si>
  <si>
    <t>14 2 00 00000</t>
  </si>
  <si>
    <t xml:space="preserve">Муниципальная программа «Цифровое муниципальное образование»                                   </t>
  </si>
  <si>
    <t>15 0 00 00000</t>
  </si>
  <si>
    <t xml:space="preserve">Расходы на обеспечение деятельности (оказание услуг) муниципальных учреждений - многофункциональный центр  предоставления государственных и муниципальных услуг </t>
  </si>
  <si>
    <t>Подпрограмма «Развитие информационной и технологической инфраструктуры экосистемы цифровой экономики муниципального образования Московской области»</t>
  </si>
  <si>
    <t>15 2 00 00000</t>
  </si>
  <si>
    <t xml:space="preserve">Муниципальная программа «Развитие сельского хозяйства»                    </t>
  </si>
  <si>
    <t>06 4 00 00000</t>
  </si>
  <si>
    <t>06 4 01 00000</t>
  </si>
  <si>
    <t>06 4 01 60870</t>
  </si>
  <si>
    <t xml:space="preserve">Муниципальная программа «Формирование современной комфортной городской среды»   </t>
  </si>
  <si>
    <t>17 0 00 00000</t>
  </si>
  <si>
    <t>17 2 00 00000</t>
  </si>
  <si>
    <t>17 2 01 00000</t>
  </si>
  <si>
    <t>Организация ритуальных услуг</t>
  </si>
  <si>
    <t>Расходы на обеспечение деятельности (оказание услуг) муниципальных учреждений в сфере похоронного дела</t>
  </si>
  <si>
    <t>Содержание мест захоронения</t>
  </si>
  <si>
    <t>Муниципальная программа «Архитектура и градостроительство»</t>
  </si>
  <si>
    <t>16 0 00 00000</t>
  </si>
  <si>
    <t>16 2 00 00000</t>
  </si>
  <si>
    <t>Расходы на обеспечение деятельности (оказание услуг) муниципальных учреждений - музеи, галереи</t>
  </si>
  <si>
    <t>02 2 01 06130</t>
  </si>
  <si>
    <t>Основное мероприятие «Организация библиотечного обслуживания населения муниципальными библиотеками Московской области»</t>
  </si>
  <si>
    <t>02 3 01 00450</t>
  </si>
  <si>
    <t>Расходы на обеспечение деятельности (оказание услуг) муниципальных учреждений - библиотеки</t>
  </si>
  <si>
    <t>02 3 01 06100</t>
  </si>
  <si>
    <t>02 4 00 00000</t>
  </si>
  <si>
    <t>Мероприятия в сфере культуры</t>
  </si>
  <si>
    <t>Мероприятия в сфере культуры (проведение культурно-массовых и праздничных мероприятий в сфере культуры в городе Лыткарино)</t>
  </si>
  <si>
    <t>Мероприятия в сфере культуры (проведение мероприятий по духовно-нравственному воспитанию)</t>
  </si>
  <si>
    <t xml:space="preserve">Муниципальная программа «Образование»                    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</si>
  <si>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</si>
  <si>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Расходы на обеспечение деятельности (оказание услуг) муниципальных учреждений - дошкольные образовательные организации</t>
  </si>
  <si>
    <t xml:space="preserve">Подпрограмма «Общее образование»                    </t>
  </si>
  <si>
    <t>Основное мероприятие «Финансовое обеспечение деятельности образовательных организаций»</t>
  </si>
  <si>
    <t>Основное мероприятие «Реализация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образования»</t>
  </si>
  <si>
    <t>Расходы на обеспечение деятельности (оказание услуг) муниципальных учреждений - организации дополнительного образования</t>
  </si>
  <si>
    <t>Основное мероприятие «Создание условий для реализации полномочий органов местного самоуправления»</t>
  </si>
  <si>
    <t>Обеспечение деятельности органов местного самоуправления (расходы на содержание лиц, замещающих должности муниципальной службы)</t>
  </si>
  <si>
    <t>Мероприятия в сфере образования</t>
  </si>
  <si>
    <t xml:space="preserve">Обеспечение деятельности контрольно-счетной палаты </t>
  </si>
  <si>
    <t>95 0 00 00150</t>
  </si>
  <si>
    <t>Руководство и управление в сфере установленных функций органов местного самоуправления</t>
  </si>
  <si>
    <t>Обеспечение деятельности контрольно-счетной палаты (обеспечение деятельности)</t>
  </si>
  <si>
    <t>95 0 00 00151</t>
  </si>
  <si>
    <t>Обеспечение деятельности контрольно-счетной палаты(расходы  на  содержание  лиц,  замещающих должности, не являющиеся должностями муниципальной  службы)</t>
  </si>
  <si>
    <t>95 0 00 00152</t>
  </si>
  <si>
    <t>95 0 00 00153</t>
  </si>
  <si>
    <t>Обеспечение деятельности контрольно-счетной палаты (расходы  на  содержание  лиц,  замещающих должности  муниципальной  службы)</t>
  </si>
  <si>
    <t>Председатель представительного органа местного самоуправления</t>
  </si>
  <si>
    <t>Расходы на содержание представительного органа муниципального образования</t>
  </si>
  <si>
    <t>95 0 00 00030</t>
  </si>
  <si>
    <t>95 0 00 00010</t>
  </si>
  <si>
    <t>95 0 00 00020</t>
  </si>
  <si>
    <t>Расходы на содержание представительного органа муниципального образования( обеспечение деятельности)</t>
  </si>
  <si>
    <t>95 0 00 00031</t>
  </si>
  <si>
    <t>95 0 00 00032</t>
  </si>
  <si>
    <t>95 0 00 00033</t>
  </si>
  <si>
    <t>Расходы на содержание представительного органа муниципального образования  (расходы  на  содержание  лиц,  замещающих должности, не являющиеся должностями муниципальной  службы)</t>
  </si>
  <si>
    <t>Расходы на содержание представительного органа муниципального образования (расходы  на  содержание  лиц,  замещающих должности  муниципальной  службы)</t>
  </si>
  <si>
    <t xml:space="preserve">Муниципальная программа «Социальная защита населения»                    </t>
  </si>
  <si>
    <t>Подпрограмма «Социальная поддержка граждан»</t>
  </si>
  <si>
    <t>Основное мероприятие «Предоставление государственных гарантий муниципальным служащим, поощрение за муниципальную службу»</t>
  </si>
  <si>
    <t>Предоставление доплаты за выслугу лет к трудовой пенсии муниципальным служащим за счет средств местного бюджета</t>
  </si>
  <si>
    <t>Подпрограмма «Развитие системы отдыха и оздоровления детей»</t>
  </si>
  <si>
    <t>Мероприятия по организации отдыха детей в каникулярное время</t>
  </si>
  <si>
    <t>Муниципальная программа  «Развитие институтов гражданского общества, повышение эффективности местного самоуправления и реализации молодежной политики»</t>
  </si>
  <si>
    <t>Подпрограмма «Развитие системы информирования населения о деятельности органов местного самоуправления Московской области, создание доступной современной медиасреды»</t>
  </si>
  <si>
    <t>13 1 00 00000</t>
  </si>
  <si>
    <t>Основное мероприятие «Информирование населения об основных событиях социально-экономического развития и общественно-политической жизни»</t>
  </si>
  <si>
    <t>13 1 01 00000</t>
  </si>
  <si>
    <t>13 1 01 00820</t>
  </si>
  <si>
    <t>Основное мероприятие «Организация создания и эксплуатации сети объектов наружной рекламы»</t>
  </si>
  <si>
    <t>13 1 07 00000</t>
  </si>
  <si>
    <t>13 1 07 00660</t>
  </si>
  <si>
    <t>Подпрограмма «Молодежь Подмосковья»</t>
  </si>
  <si>
    <t>13 4 00 00000</t>
  </si>
  <si>
    <t>13 4 01 00000</t>
  </si>
  <si>
    <t>13 4 01 00770</t>
  </si>
  <si>
    <t>Основное мероприятие «Корректировка списков кандидатов в присяжные заседатели федеральных судов общей юрисдикции в Российской Федерации»</t>
  </si>
  <si>
    <t>Основное мероприятие «Обеспечение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экзамена»</t>
  </si>
  <si>
    <t>02 2 00 00000</t>
  </si>
  <si>
    <t>Основное мероприятие «Обеспечение выполнения функций муниципальных музеев»</t>
  </si>
  <si>
    <t>02 2 01 00000</t>
  </si>
  <si>
    <t>12 5 01 06094</t>
  </si>
  <si>
    <t>Мероприятия по организации отдыха детей в каникулярное время (организация  отдыха  детей  и  подростков  в  санаторно-курортных  учреждениях  и  загородных  оздоровительных  лагерях)</t>
  </si>
  <si>
    <t xml:space="preserve">Мероприятия по организации отдыха детей в каникулярное время(организация  отдыха  детей  и  подростков  в   лагерях  с  дневным  пребыванием) </t>
  </si>
  <si>
    <t xml:space="preserve">Создание условий для предоставления транспортных услуг населению и организация транспортного обслуживания населения в границах городского округа (в части автомобильного транспорта) (маршруты №1 и №2) </t>
  </si>
  <si>
    <t>17 3 00 00000</t>
  </si>
  <si>
    <t>Основное мероприятие «Приведение в надлежащее состояние подъездов в многоквартирных домах»</t>
  </si>
  <si>
    <t>17 3 01 00000</t>
  </si>
  <si>
    <t>Коммунальное  хозяйство</t>
  </si>
  <si>
    <t xml:space="preserve">  Коммунальное  хозяйство</t>
  </si>
  <si>
    <t>Основное мероприятие "Создание условий для реализации полномочий органов местного самоуправления"</t>
  </si>
  <si>
    <t>Создание административных комиссий, уполномоченных рассматривать дела об административных правонарушениях в сфере благоустройства</t>
  </si>
  <si>
    <t>Депутат представительного органа местного самоуправления на постоянной основе</t>
  </si>
  <si>
    <t xml:space="preserve">Обеспечение деятельности органов местного самоуправления </t>
  </si>
  <si>
    <t>Расходы на обеспечение деятельности (оказание услуг) муниципальных учреждений - организации дополнительного образования (выполнение муниципального задания )</t>
  </si>
  <si>
    <t xml:space="preserve">Непрограммные расходы </t>
  </si>
  <si>
    <t>Расходы на обеспечение деятельности (оказание услуг) муниципальных учреждений - дошкольные образовательные организации (выполнение муниципального задания)</t>
  </si>
  <si>
    <t>08 1 07 00480</t>
  </si>
  <si>
    <t>08 1 07 00000</t>
  </si>
  <si>
    <t>08 1  07 00590</t>
  </si>
  <si>
    <t>08 1 07 06250</t>
  </si>
  <si>
    <t>14 1 02 00000</t>
  </si>
  <si>
    <t xml:space="preserve"> 14 1 02 00280</t>
  </si>
  <si>
    <t xml:space="preserve"> 14 1 02 00281</t>
  </si>
  <si>
    <t>14 5 00 00000</t>
  </si>
  <si>
    <t>14 5 01 00000</t>
  </si>
  <si>
    <t xml:space="preserve">Подпрограмма «Развитие и поддержка социально ориентированных некоммерческих организаций" </t>
  </si>
  <si>
    <t>Мероприятия по обеспечению безопасности дорожного движения</t>
  </si>
  <si>
    <t>Основное мероприятие «Обеспечение комфортной среды проживания на территории муниципального образования»</t>
  </si>
  <si>
    <t>800</t>
  </si>
  <si>
    <t>810</t>
  </si>
  <si>
    <t xml:space="preserve">Итого по муниципальным программам: </t>
  </si>
  <si>
    <t>Обеспечение деятельности органов местного самоуправления (расходы на содержание лиц, замещающих должности не являющиеся должностями муниципальной службы)</t>
  </si>
  <si>
    <t>08 6 01 00000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</si>
  <si>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</si>
  <si>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Основное мероприятие "Обеспечение функций культурно-досуговых учреждений"</t>
  </si>
  <si>
    <t>Расходы на обеспечение деятельности(оказание услуг) муниципальных учреждений-культурно-досуговые учреждения</t>
  </si>
  <si>
    <t>Обслуживание муниципального  долга</t>
  </si>
  <si>
    <t>08 1 07 00590</t>
  </si>
  <si>
    <t>Подпрограмма «Обеспечение пожарной безопасности на территории муниципального образования Московской области»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</si>
  <si>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</si>
  <si>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08 1 07 62820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</si>
  <si>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</si>
  <si>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 xml:space="preserve"> </t>
  </si>
  <si>
    <t>Расходы на обеспечение деятельности (оказание услуг) муниципальных учреждений - культурно-досуговые учреждения (Расходы на выполнение муниципального задания муниципальных учреждений- МУ ДК "Мир")</t>
  </si>
  <si>
    <t>Расходы на обеспечение деятельности (оказание услуг) муниципальных учреждений - культурно-досуговые учреждения (Расходы на выполнение муниципального задания муниципальных учреждений- МУ ДК "Центр молодежи")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</si>
  <si>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</si>
  <si>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Гражданская  оборона</t>
  </si>
  <si>
    <t>Защита населения и территории от чрезвычайных ситуаций природного и техногенного характера,пожарная безопасность</t>
  </si>
  <si>
    <t xml:space="preserve">  Защита населения и территории от чрезвычайных ситуаций природного и техногенного характера,пожарная безопасность</t>
  </si>
  <si>
    <t xml:space="preserve">  Гражданская  оборона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</si>
  <si>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самоуправления( МБУ"ЛАТП- автотранспортное обслуживание")</t>
  </si>
  <si>
    <t>Подпрограмма «Комфортная городская среда»</t>
  </si>
  <si>
    <t>17 1 00 00000</t>
  </si>
  <si>
    <t>Основное мероприятие  «Информационная инфраструктура»</t>
  </si>
  <si>
    <t>15 2 01 00000</t>
  </si>
  <si>
    <t>Развитие информационной инфраструктуры</t>
  </si>
  <si>
    <t>15 2 01 01150</t>
  </si>
  <si>
    <t>Основное мероприятие «Цифровое государственное управление»</t>
  </si>
  <si>
    <t>15 2 03 00000</t>
  </si>
  <si>
    <t>Цифровое государственное управление</t>
  </si>
  <si>
    <t>15 2 03 01170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</si>
  <si>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</si>
  <si>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02 6 00 00000</t>
  </si>
  <si>
    <t>02 6 01 00000</t>
  </si>
  <si>
    <t>02 6 01 06260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</si>
  <si>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 ("Комитет  по  делам  культуры, молодежи,спорта  и  туризма  г.Лыткарино")</t>
  </si>
  <si>
    <t>12 5 01 06093</t>
  </si>
  <si>
    <t>12 1 02 00180</t>
  </si>
  <si>
    <t>600</t>
  </si>
  <si>
    <t>610</t>
  </si>
  <si>
    <t>10 3 00 00000</t>
  </si>
  <si>
    <t>Основное мероприятие «Информационная безопасность»</t>
  </si>
  <si>
    <t>15 2 02 00000</t>
  </si>
  <si>
    <t>Информационная безопасность</t>
  </si>
  <si>
    <t>15 2 02 01160</t>
  </si>
  <si>
    <t>Основное мероприятие "Благоустройство общественных территорий муниципальных образований Московской области"</t>
  </si>
  <si>
    <t>17 1 01 00000</t>
  </si>
  <si>
    <t>Ремонт дворовых территорий</t>
  </si>
  <si>
    <t>Благоустройство лесопарковых зон</t>
  </si>
  <si>
    <t>17 1 01 S3730</t>
  </si>
  <si>
    <t>02 3 01 L5198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</si>
  <si>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Московской области,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Московской области,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</si>
  <si>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04 5 00 00000</t>
  </si>
  <si>
    <t>17 2 01 01480</t>
  </si>
  <si>
    <t>Обеспечение деятельности контрольно-счетной палаты (расходы  на  содержание  лиц, замещающих муниципальные должности )</t>
  </si>
  <si>
    <t>95 0 00 00154</t>
  </si>
  <si>
    <t>12 3 00 00000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</si>
  <si>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</si>
  <si>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12 3 01 00000</t>
  </si>
  <si>
    <t>Субсидии некоммерческим организациям (за исключением государственных (муниципальных) учреждений,государственных корпораций (компаний), публично-правовых компаний)</t>
  </si>
  <si>
    <t>Совет  депутатов  городского округа  Лыткарино</t>
  </si>
  <si>
    <t>Финансовое  управление  города  Лыткарино</t>
  </si>
  <si>
    <t>Обеспечение  деятельности  финансовых,налоговых  и  таможенных  органов  и  органов  финансового  (финансово-бюджетного)  надзора</t>
  </si>
  <si>
    <t>Комитет  по  управлению  имуществом  города  Лыткарино</t>
  </si>
  <si>
    <t>Управление  образования города  Лыткарино</t>
  </si>
  <si>
    <t>901</t>
  </si>
  <si>
    <t>Управление  жилищно-коммунального  хозяйства    и  развития  городской  инфраструктуры  города  Лыткарино</t>
  </si>
  <si>
    <t>902</t>
  </si>
  <si>
    <t xml:space="preserve"> Капитальные вложения в объекты государственной(муниципальной) собственности</t>
  </si>
  <si>
    <t>Контрольно-счетная палата городского округа  Лыткарино  Московской  области</t>
  </si>
  <si>
    <t>Обеспечение деятельности контрольно-счетной палаты (расходы  на  содержание  лиц,  замещающих муниципальные должности)</t>
  </si>
  <si>
    <t>17 2 01 06242</t>
  </si>
  <si>
    <t>Иные выплаты населению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</si>
  <si>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</si>
  <si>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Основное мероприятие "Обеспечение функций муниципальных организаций дополнительного образования сферы культуры"</t>
  </si>
  <si>
    <t>Подпрограмма "Обеспечение эпизоотического и ветеринарно-санитарного благополучия и развития государственной ветеринарной службы"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</si>
  <si>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</si>
  <si>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Основное мероприятие "Организация транспортного обслуживания населения"</t>
  </si>
  <si>
    <t>Иные расходы</t>
  </si>
  <si>
    <t>99 0 00 04000</t>
  </si>
  <si>
    <t>Создание и ремонт пешеходных коммуникаций</t>
  </si>
  <si>
    <t>Иные расходы (обеспечение участия городского округа Лыткарино в государственных программах Московской области)</t>
  </si>
  <si>
    <t>99 0 00 04006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</si>
  <si>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</si>
  <si>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Взносы на капитальный ремонт общего имущества многоквартирных домов</t>
  </si>
  <si>
    <t>Организация наружного освещения</t>
  </si>
  <si>
    <t>Сумма  
на 2025 год</t>
  </si>
  <si>
    <t xml:space="preserve">Сумма  
на 2025 год
</t>
  </si>
  <si>
    <t>Обслуживание  государственного (муниципального)  долга</t>
  </si>
  <si>
    <t>Обслуживание государственного (муниципального) внутреннего долга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</si>
  <si>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</si>
  <si>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</si>
  <si>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Ямочный ремонт асфальтового покрытия дворовых территорий</t>
  </si>
  <si>
    <t>10 3 01 00000</t>
  </si>
  <si>
    <t>Основное мероприятие «Строительство, реконструкция, капитальный ремонт объектов теплоснабжения на территории муниципальных образований Московской области»</t>
  </si>
  <si>
    <t>13 6 00 00000</t>
  </si>
  <si>
    <t>13 6 03 00000</t>
  </si>
  <si>
    <t>Подпрограмма "Общее образование"</t>
  </si>
  <si>
    <t>03 1 01 00000</t>
  </si>
  <si>
    <t>Основное мероприятие "Финансовое обеспечение деятельности образовательных организаций"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</si>
  <si>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</si>
  <si>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03 1 01 06040</t>
  </si>
  <si>
    <t>03 1 01 06041</t>
  </si>
  <si>
    <t>13 6 03 51180</t>
  </si>
  <si>
    <t>13 6 04 00000</t>
  </si>
  <si>
    <t>13 6 04 51200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</si>
  <si>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</si>
  <si>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Осуществление первичного воинского учета органами местного самоуправления поселений, муниципальных и городских округов</t>
  </si>
  <si>
    <t>Основное мероприятие «Осуществление первичного воинского учета»</t>
  </si>
  <si>
    <t xml:space="preserve">  Социальное обеспечение населения</t>
  </si>
  <si>
    <t>12 1 04 00000</t>
  </si>
  <si>
    <t>12 1 04 00130</t>
  </si>
  <si>
    <t>12 1 04 00131</t>
  </si>
  <si>
    <t>12 1 04 00132</t>
  </si>
  <si>
    <t>12 1 04 00133</t>
  </si>
  <si>
    <t>04 1 15 00840</t>
  </si>
  <si>
    <t>04 1 15 00000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</si>
  <si>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</si>
  <si>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03 1 01 62140</t>
  </si>
  <si>
    <t>03 1 01 06050</t>
  </si>
  <si>
    <t>03 1 01 06051</t>
  </si>
  <si>
    <t>03 1 01 06052</t>
  </si>
  <si>
    <t>03 1 01 62010</t>
  </si>
  <si>
    <t>03 1 02 62230</t>
  </si>
  <si>
    <t>03 1 04 00000</t>
  </si>
  <si>
    <t>03 1 04 06050</t>
  </si>
  <si>
    <t>Подпрограмма "Дополнительное образование, воспитание и психолого-социальное сопровождение детей"</t>
  </si>
  <si>
    <t>Основное мероприятие "Финансовое обеспечение деятельности организаций дополнительного образования"</t>
  </si>
  <si>
    <t>03 2 02 00000</t>
  </si>
  <si>
    <t>03 2 02 06060</t>
  </si>
  <si>
    <t>03 2 02 06061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</si>
  <si>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</si>
  <si>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03 2 04 00000</t>
  </si>
  <si>
    <t>03 2 04 00940</t>
  </si>
  <si>
    <t>03 4 00 00000</t>
  </si>
  <si>
    <t>03 4 01 00000</t>
  </si>
  <si>
    <t>03 4 01 00130</t>
  </si>
  <si>
    <t>03 4 01 00131</t>
  </si>
  <si>
    <t>03 4 01 00132</t>
  </si>
  <si>
    <t>03 4 01 00133</t>
  </si>
  <si>
    <t>03 4 01 00950</t>
  </si>
  <si>
    <t>Подпрограмма «Развитие музейного дела»</t>
  </si>
  <si>
    <t>Подпрограмма «Развитие библиотечного дела»</t>
  </si>
  <si>
    <t>Подпрограмма «Развитие профессионального искусства, гастрольно-концертной и культурно-досуговой деятельности, кинематографии»</t>
  </si>
  <si>
    <t>02 4 04 00000</t>
  </si>
  <si>
    <t>02 4 04 06110</t>
  </si>
  <si>
    <t>02 4 04 06111</t>
  </si>
  <si>
    <t>02 4 04 06112</t>
  </si>
  <si>
    <t>Подпрограмма "Развитие образования в сфере культуры"</t>
  </si>
  <si>
    <t>Подпрограмма «Развитие библиотечного дела"</t>
  </si>
  <si>
    <t>Подпрограмма «Развитие музейного дела"</t>
  </si>
  <si>
    <t xml:space="preserve">Подпрограмма "Развитие образования в сфере культуры" 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</si>
  <si>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</si>
  <si>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14 2 04 00000</t>
  </si>
  <si>
    <t>04 2 03 00000</t>
  </si>
  <si>
    <t>Основное мероприятие "Мероприятия по организации отдыха детей в каникулярное время"</t>
  </si>
  <si>
    <t>04 2 03 S2190</t>
  </si>
  <si>
    <t>04 2 03 S2191</t>
  </si>
  <si>
    <t>04 2 03 S2192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</si>
  <si>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 (выполнение муниципального задания)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</si>
  <si>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 (мероприятия в сфере образования)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</si>
  <si>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</si>
  <si>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</si>
  <si>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Основное мероприятие «Финансовое обеспечение деятельности организаций дополнительного образования"</t>
  </si>
  <si>
    <t>Основное мероприятие «Вовлечение молодежи в общественную жизнь»</t>
  </si>
  <si>
    <t>Основное мероприятие «Мероприятия по организации отдыха детей в каникулярное время»</t>
  </si>
  <si>
    <t>Подпрограмма «Развитие системы информирования населения о деятельности органов местного самоуправления городских округов Московской области, создание доступной современной медиасреды»</t>
  </si>
  <si>
    <t xml:space="preserve">Подпрограмма «Общее образование»                   </t>
  </si>
  <si>
    <t xml:space="preserve">Мероприятия по организации отдыха детей в каникулярное время (организация  отдыха  детей  и  подростков  в   лагерях  с  дневным  пребыванием) </t>
  </si>
  <si>
    <t>04 5 03 00000</t>
  </si>
  <si>
    <t>Основное мероприятие «Иные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области»</t>
  </si>
  <si>
    <t>04 5 03 60680</t>
  </si>
  <si>
    <t>04 6 00 00000</t>
  </si>
  <si>
    <t>04 6 01 00000</t>
  </si>
  <si>
    <t>Основное мероприятие «Развитие негосударственного сектора социального обслуживания»</t>
  </si>
  <si>
    <t>Организация и проведение официальных физкультурно-оздоровительных и спортивных мероприятий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</si>
  <si>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</si>
  <si>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Основное мероприятие "Сохранение ветеринарно-санитарного благополучия"</t>
  </si>
  <si>
    <t>Основное мероприятие «Реализация мероприятий по обеспечению общественного порядка и общественной безопасности, профилактике проявлений экстремизма»</t>
  </si>
  <si>
    <t>Основное мероприятие "Развитие похоронного дела"</t>
  </si>
  <si>
    <t>Подпрограмма "Объекты теплоснабжения, инженерные коммуникации"</t>
  </si>
  <si>
    <t>Подпрограмма «Эффективное управление имущественным комплексом»</t>
  </si>
  <si>
    <t>Подпрограмма «Управление муниципальным долгом»</t>
  </si>
  <si>
    <t>Основное мероприятие «Реализация мероприятий в рамках управления муниципальным долгом»</t>
  </si>
  <si>
    <t>12 3 01 00800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</si>
  <si>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</si>
  <si>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12 5 03 00000</t>
  </si>
  <si>
    <t>12 5 03 00830</t>
  </si>
  <si>
    <t>15 3 00 00000</t>
  </si>
  <si>
    <t>15 3 01 00000</t>
  </si>
  <si>
    <t>15 3 01 06190</t>
  </si>
  <si>
    <t>Подпрограмма «Создание условий для обеспечения комфортного проживания жителей, в том числе в многоквартирных домах на территории Московской области»</t>
  </si>
  <si>
    <t>Основное мероприятие «Обеспечение комфортной среды проживания на территории муниципального образования Московской области»</t>
  </si>
  <si>
    <t>17 2 03 00000</t>
  </si>
  <si>
    <t>17 2 01 62670</t>
  </si>
  <si>
    <t>17 3 01 00130</t>
  </si>
  <si>
    <t>17 3 01 00131</t>
  </si>
  <si>
    <t>17 3 01 00132</t>
  </si>
  <si>
    <t>17 3 01 00133</t>
  </si>
  <si>
    <t>Обеспечение деятельности контрольно-счетной палаты (расходы  на  содержание  лиц,  замещающих должности, не являющиеся должностями муниципальной  службы)</t>
  </si>
  <si>
    <t>Строительство и реконструкция объектов теплоснабжения</t>
  </si>
  <si>
    <t>12 5 01 01680</t>
  </si>
  <si>
    <t>Обеспечение деятельности муниципальных казенных учреждений в сфере закупок товаров, работ, услуг</t>
  </si>
  <si>
    <t>02 4 04 00500</t>
  </si>
  <si>
    <t>02 4 04 00501</t>
  </si>
  <si>
    <t>02 4 04 00502</t>
  </si>
  <si>
    <t>08 2 02 00340</t>
  </si>
  <si>
    <t>08 2 03 00000</t>
  </si>
  <si>
    <t>08 2 03 00340</t>
  </si>
  <si>
    <t>08 3 03 00000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</si>
  <si>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</si>
  <si>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Организация и осуществление мероприятий по территориальной обороне и гражданской обороне</t>
  </si>
  <si>
    <t>08 3 03 00670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</si>
  <si>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</si>
  <si>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</si>
  <si>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</si>
  <si>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08 5 01 00000</t>
  </si>
  <si>
    <t>08 5 01 00730</t>
  </si>
  <si>
    <t xml:space="preserve">Муниципальная программа «Культура и туризм»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</si>
  <si>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</si>
  <si>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Оказание поддержки общественным объединениям инвалидов, а также территориальным подразделениям, созданным общероссийскими общественными объединениями инвалидов</t>
  </si>
  <si>
    <t>04 6 01 00880</t>
  </si>
  <si>
    <t>17 2 01 01330</t>
  </si>
  <si>
    <t>Комплексное благоустройство дворовых территорий</t>
  </si>
  <si>
    <t>Основное мероприятие "Организация и проведение мероприятий по профориентации и реализации трудового и творческого потенциала молодежи, вовлечению молодежи в инновационную деятельность, научно-техническое творчество и предпринимательство, а также по поддержке молодежных творческих инициатив и медиасообществ"</t>
  </si>
  <si>
    <t>13 4 02 00000</t>
  </si>
  <si>
    <t>13 4 02 01510</t>
  </si>
  <si>
    <t>Основное мероприятие "Строительство, реконструкция, капитальный ремонт объектов теплоснабжения на территории муниципальных образований Московской области"</t>
  </si>
  <si>
    <t>Подпрограмма "Обеспечение мероприятий гражданской обороны на территории муниципального образования Московской области"</t>
  </si>
  <si>
    <t>Расходы на обеспечение деятельности (оказание услуг) муниципальных учреждений в сфере благоустройства (МКУ/МБУ/МАУ)</t>
  </si>
  <si>
    <t>Основное мероприятие «Создание,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(происшествий) на территории муниципального образования  Московской области»</t>
  </si>
  <si>
    <t>Основное мероприятие «Создание,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(происшествияй) на территории муниципального образования  Московской области»</t>
  </si>
  <si>
    <t xml:space="preserve">Муниципальная программа «Развитие инженерной инфраструктуры, энергоэффективности и отрасли обращения с отходами»   </t>
  </si>
  <si>
    <t>В т.ч. Субвенции, субсидии, иные межбюджетные трансферты</t>
  </si>
  <si>
    <t>Подпрограмма «Системы водоотведения»</t>
  </si>
  <si>
    <t>10 2 00 00000</t>
  </si>
  <si>
    <t xml:space="preserve">  Сбор, удаление отходов и очистка сточных вод</t>
  </si>
  <si>
    <t xml:space="preserve">  Обеспечение проведения выборов и референдумов</t>
  </si>
  <si>
    <t>Приложение 3</t>
  </si>
  <si>
    <t>Оказание  поддержки социально ориентированным некоммерческим организациям</t>
  </si>
  <si>
    <t>04 6 01 00760</t>
  </si>
  <si>
    <t>Приложение 5</t>
  </si>
  <si>
    <t>Муниципальная программа "Развитие инженерной инфраструктуры, энергоэффективности и отрасли обращения с отходами"</t>
  </si>
  <si>
    <t>Реализация мероприятий по обеспечению общественного порядка и общественной безопасности</t>
  </si>
  <si>
    <t>08 1 03 00980</t>
  </si>
  <si>
    <t>Спорт высших достижений</t>
  </si>
  <si>
    <t>Подпрограмма "Подготовка спортивного резерва"</t>
  </si>
  <si>
    <t>05 2 00 00000</t>
  </si>
  <si>
    <t>05 2 01 00000</t>
  </si>
  <si>
    <t>Основное мероприятие "Подготовка спортивных сборных команд"</t>
  </si>
  <si>
    <t>05 2 01 06150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</si>
  <si>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</si>
  <si>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 xml:space="preserve">Ремонт подъездов в многоквартирных домах </t>
  </si>
  <si>
    <t>тыс.руб.</t>
  </si>
  <si>
    <t xml:space="preserve">Сумма  
на 2026 год
</t>
  </si>
  <si>
    <t>12 1 03 65900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</si>
  <si>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</si>
  <si>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99 0 00 01120</t>
  </si>
  <si>
    <t>Денежные выплаты почетным гражданам</t>
  </si>
  <si>
    <t>Проведение выборов</t>
  </si>
  <si>
    <t>99 0 00 00040</t>
  </si>
  <si>
    <t>Сумма  
на 2026 год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</si>
  <si>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</si>
  <si>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16 2 05 00000</t>
  </si>
  <si>
    <t>16 2 05 01210</t>
  </si>
  <si>
    <t>Ликвидация самовольных, недостроенных и аварийных объектов на территории муниципального образования</t>
  </si>
  <si>
    <t>Специальные расходы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</si>
  <si>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</si>
  <si>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03 1 04 63190</t>
  </si>
  <si>
    <t>03 1 01 63180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</si>
  <si>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</si>
  <si>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10 3 02 00000</t>
  </si>
  <si>
    <t>Замена и модернизация детских игровых площадок</t>
  </si>
  <si>
    <t>17 2 01 01940</t>
  </si>
  <si>
    <t>17 2 01 01930</t>
  </si>
  <si>
    <t>Модернизация детских игровых площадок, установленных ранее с привлечением средств бюджета Московской области</t>
  </si>
  <si>
    <t>19 0 00 00000</t>
  </si>
  <si>
    <t>Содержание территорий в нормативном состоянии</t>
  </si>
  <si>
    <t>17 2 01 00620</t>
  </si>
  <si>
    <t>Обеспечивающая программа</t>
  </si>
  <si>
    <t>Основное мероприятие "Обеспечение функций муниципальных учреждений культуры Московской области"</t>
  </si>
  <si>
    <t>02 4 07 00000</t>
  </si>
  <si>
    <t>Финансовое обеспечение стимулирующих выплат работникам культурно-досуговых учреждений в Московской области с высоким уровнем достижений работы в сфере культуры</t>
  </si>
  <si>
    <t>02 4 07 S2570</t>
  </si>
  <si>
    <t>Реализация мероприятий по капитальному ремонту объектов  теплоснабжения</t>
  </si>
  <si>
    <t>Реализация мероприятий по капитальному ремонту сетей  теплоснабжения на территории муниципальных образований</t>
  </si>
  <si>
    <t xml:space="preserve">Муниципальная программа «Переселение граждан из аварийного жилищного фонда»   </t>
  </si>
  <si>
    <t>Устройство и модернизация контейнерных площадок</t>
  </si>
  <si>
    <t>17 2 01 S2490</t>
  </si>
  <si>
    <t xml:space="preserve">Сумма  
на 2027 год
</t>
  </si>
  <si>
    <t>Сумма  
на 2027 год</t>
  </si>
  <si>
    <t>10 3 01 SТ050</t>
  </si>
  <si>
    <t>10 3 02 SТ090</t>
  </si>
  <si>
    <t>10 3 01 SТ010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</si>
  <si>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скверов)</t>
  </si>
  <si>
    <t>Федеральный проект "Формирование комфортной городской среды"</t>
  </si>
  <si>
    <t>17 1 И4 00000</t>
  </si>
  <si>
    <t>17 1 И4 55552</t>
  </si>
  <si>
    <t>10 3 01 SТ020</t>
  </si>
  <si>
    <t>Реализация мероприятий по строительству и реконструкции объектов теплоснабжения муниципальной собственности</t>
  </si>
  <si>
    <t>17 1 И4 55559</t>
  </si>
  <si>
    <t>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</t>
  </si>
  <si>
    <t>03 1 01 S0450</t>
  </si>
  <si>
    <t>Федеральный проект "Педагоги и наставники"</t>
  </si>
  <si>
    <t>03 1 Ю6 00000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</si>
  <si>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</si>
  <si>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03 1 Ю6 53030</t>
  </si>
  <si>
    <t>03 1 01 S0460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</si>
  <si>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</si>
  <si>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03 1 Ю6 51790</t>
  </si>
  <si>
    <t>Подпрограмма "Реализация полномочий в сфере жилищно-коммунального хозяйства"</t>
  </si>
  <si>
    <t>10 8 00 00000</t>
  </si>
  <si>
    <t>10 8 01 00000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</si>
  <si>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</si>
  <si>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Возмещение затрат, связанных с получением комплексных экологических разрешений</t>
  </si>
  <si>
    <t>10 8 01 S1320</t>
  </si>
  <si>
    <t>Подпрограмма "Обеспечение жильем отдельных категорий граждан за счет средств федерального бюджета"</t>
  </si>
  <si>
    <t>09 6 00 00000</t>
  </si>
  <si>
    <t>09 6 02 00000</t>
  </si>
  <si>
    <t>Основное мероприятие "Оказание государственной поддержки по обеспечению жильем отдельных категорий граждан из числа ветеранов и инвалидов боевых действий и членов их семей, инвалидов и семей, имеющих детей-инвалидов"</t>
  </si>
  <si>
    <t>09 6 02 51760</t>
  </si>
  <si>
    <t>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</si>
  <si>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</si>
  <si>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Основное мероприятие "Накопление, хранение и использование в целях гражданской обороны запасов материально-технических, продовольственных, медицинских и иных средств"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</si>
  <si>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</si>
  <si>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08 3 02 00700</t>
  </si>
  <si>
    <t>Капитальный ремонт и ремонт автомобильных дорог общего пользования местного значения за счет средств дорожного фонда муниципального образования</t>
  </si>
  <si>
    <t>17 2 03 02090</t>
  </si>
  <si>
    <t>Основное мероприятие "Приведение в надлежащее состояние подъездов в многоквартирных домах"</t>
  </si>
  <si>
    <t>03 1 01 02040</t>
  </si>
  <si>
    <t>Организация питания обучающихся в муниципальных общеобразовательных организациях в Московской области</t>
  </si>
  <si>
    <t>Основное мероприятие "Создание условий для занятий физической культурой и спортом"</t>
  </si>
  <si>
    <t>05 1 02 00000</t>
  </si>
  <si>
    <t>Устройство универсальных спортивных площадок</t>
  </si>
  <si>
    <t>05 1 02 02060</t>
  </si>
  <si>
    <t>17 2 01 00622</t>
  </si>
  <si>
    <t>17 2 01 02110</t>
  </si>
  <si>
    <t>Другие вопросы в области охраны окружающей среды</t>
  </si>
  <si>
    <t>Муниципальная программа "Экология и окружающая среда"</t>
  </si>
  <si>
    <t>07 0 00 00000</t>
  </si>
  <si>
    <t>Подпрограмма "Охрана окружающей среды"</t>
  </si>
  <si>
    <t>07 1 00 00000</t>
  </si>
  <si>
    <t>Основное мероприятие "Проведение обследований состояния окружающей среды"</t>
  </si>
  <si>
    <t>07 1 01 00000</t>
  </si>
  <si>
    <t>07 1 01 00370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</si>
  <si>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</si>
  <si>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14 5 01 9Д870</t>
  </si>
  <si>
    <t>Расходы на обеспечение деятельности (оказание услуг) муниципальных учреждений в сфере дорожного хозяйства за счет средств дорожного фонда муниципального образования</t>
  </si>
  <si>
    <t>17 2 01 02100</t>
  </si>
  <si>
    <t>14 3 00 00000</t>
  </si>
  <si>
    <t>Подпрограмма "Безопасность дорожного движения"</t>
  </si>
  <si>
    <t>Основное мероприятие "Обеспечение безопасного поведения на дорогах"</t>
  </si>
  <si>
    <t>14 3 01 00000</t>
  </si>
  <si>
    <t>14 3 01 9Д890</t>
  </si>
  <si>
    <t>14 2 04 9Д110</t>
  </si>
  <si>
    <t>Основное мероприятие "Ремонт, капитальный ремонт сети автомобильных дорог, мостов и путепроводов местного значения"</t>
  </si>
  <si>
    <t>10 3 01 SТ021</t>
  </si>
  <si>
    <t>10 3 01 SТ022</t>
  </si>
  <si>
    <t>Реализация мероприятий по строительству и реконструкции объектов теплоснабжения муниципальной собственности (строительство БМК мощностью 6,9 МВт по адресу: Московская область, г.Лыткарино, 6 мкр., стр.31 (в т.ч. ПИР)</t>
  </si>
  <si>
    <t>Реализация мероприятий по строительству и реконструкции объектов теплоснабжения муниципальной собственности (строительство БМК мощностью 9,7 МВт по адресу: Московская область, г.Лыткарино, мкр.6, стр.30 (в т.ч. ПИР)</t>
  </si>
  <si>
    <t>Основное мероприятие "Создание условий для реализации государственных полномочий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помещений"</t>
  </si>
  <si>
    <t>Подпрограмма "Обеспечение мероприятий по защите населения и территорий от чрезвычайных ситуаций"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</si>
  <si>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</si>
  <si>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Содержание территорий в нормативном состоянии  (МУ "ДК "Мир")</t>
  </si>
  <si>
    <t>Основное мероприятие "Реализация мероприятий по подготовке населения,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</si>
  <si>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Основное мероприятие "Строительство, реконструкция, капитальный ремонт сетей водоснабжения, водоотведения, теплоснабжения на территории муниципальных образований Московской области"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</si>
  <si>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образования(мероприятия в сфере образования)</t>
  </si>
  <si>
    <t>08 3 02 00000</t>
  </si>
  <si>
    <t>Подпрограмма "Обеспечение мероприятий по переселению граждан из аварийного жилищного фонда в Московской области"</t>
  </si>
  <si>
    <t>19 2 00 00000</t>
  </si>
  <si>
    <t>Основное мероприятие "Переселение граждан из аварийного жилищного фонда"</t>
  </si>
  <si>
    <t>19 2 02 00000</t>
  </si>
  <si>
    <t>Обеспечение мероприятий по переселению граждан из аварийного жилищного фонда за счет средств местного бюджета</t>
  </si>
  <si>
    <t>19 2 02 79605</t>
  </si>
  <si>
    <t>Федеральный проект "Семейные ценности и инфраструктура культуры"</t>
  </si>
  <si>
    <t>Государственная поддержка отрасли культуры (в части приобретения музыкальных инструментов, оборудования и учебных материалов для оснащения образовательных организаций в сфере культуры Московской области)</t>
  </si>
  <si>
    <t>02 6 Я5 55195</t>
  </si>
  <si>
    <t>02 6 Я5 00000</t>
  </si>
  <si>
    <t>Основное мероприятие "Финансовое обеспечение организаций дополнительного образования сферы культуры Московской области"</t>
  </si>
  <si>
    <t>02 6 05 00000</t>
  </si>
  <si>
    <t>02 6 05 S1180</t>
  </si>
  <si>
    <t>Федеральный проект "Все лучшее детям"</t>
  </si>
  <si>
    <t>03 1 Ю4 00000</t>
  </si>
  <si>
    <t>Оснащение предметных кабинетов общеобразовательных организаций средствами обучения и воспитания</t>
  </si>
  <si>
    <t>03 1 Ю4 55590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</si>
  <si>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</si>
  <si>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03 1 Ю6 50500</t>
  </si>
  <si>
    <t>03 1 02 L3041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</si>
  <si>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(Организация бесплатного горячего питания обучающихся, получающих начальное общее образование в муниципальных образовательных организациях)</t>
  </si>
  <si>
    <t>Организация библиотечного обслуживания населения, комплектование и обеспечение сохранности библиотечных фондов библиотек муниципального образования</t>
  </si>
  <si>
    <t>Основное мероприятие "Обеспечение условий для развития на территории муниципального образования физической культуры, школьного спорта и массового спорта"</t>
  </si>
  <si>
    <t>Организация мероприятий по охране окружающей среды в границах муниципального образования</t>
  </si>
  <si>
    <t>Участие в предупреждении и ликвидации последствий чрезвычайных ситуаций в границах муниципального образования</t>
  </si>
  <si>
    <t>Обеспечение первичных мер пожарной безопасности в границах муниципального образования</t>
  </si>
  <si>
    <t>Благоустройство лесопарковых зон за счет средств местного бюджета</t>
  </si>
  <si>
    <t>17 1 01 73730</t>
  </si>
  <si>
    <t>Строительство и реконструкция объектов очистки сточных вод за счет средств местного бюджета</t>
  </si>
  <si>
    <t>10 2 01 74020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</si>
  <si>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</si>
  <si>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10 2 01 00000</t>
  </si>
  <si>
    <t>Здравоохранение</t>
  </si>
  <si>
    <t>Другие вопросы в области здравоохранения</t>
  </si>
  <si>
    <t>Муниципальная программа "Здравоохранение"</t>
  </si>
  <si>
    <t>01 0 00 00000</t>
  </si>
  <si>
    <t>Подпрограмма "Финансовое обеспечение системы организации медицинской помощи"</t>
  </si>
  <si>
    <t>01 5 00 00000</t>
  </si>
  <si>
    <t>Основное мероприятие "Развитие мер социальной поддержки, премирование медицинских работников"</t>
  </si>
  <si>
    <t>01 5 02 00000</t>
  </si>
  <si>
    <t>01 5 02 00420</t>
  </si>
  <si>
    <t>Создание условий для оказания медицинской помощи населению на территории муниципального образования в соответствии с территориальной программой государственных гарантий бесплатного оказания гражданам медицинской помощи</t>
  </si>
  <si>
    <t>Финансовое обеспечение выплат преподавателям в области музыкального искусства организаций дополнительного образования сферы культуры</t>
  </si>
  <si>
    <t>Выплата пособия и ежемесячных выплат педагогическим работникам муниципальных дошкольных и общеобразовательных организаций – молодым работникам и специалистам</t>
  </si>
  <si>
    <t>Владение, пользование и распоряжение имуществом, находящимся в муниципальной собственности муниципального образования</t>
  </si>
  <si>
    <t>Организация и осуществление мероприятий по работе с детьми и молодежью в муниципальном образовании</t>
  </si>
  <si>
    <t>Организация и осуществление мероприятий по профориентации и обеспечению занятости молодежи в муниципальном образовании</t>
  </si>
  <si>
    <t>Подпрограмма "Реализация политики пространственного развития муниципального образования"</t>
  </si>
  <si>
    <t>Строительство и реконструкция объектов очистки сточных вод (строительство городских канализационных очистных сооружений г.Лыткарино производительностью 30 000 м.куб. в сутки)</t>
  </si>
  <si>
    <t>10 2 01 S4021</t>
  </si>
  <si>
    <t>Выплата ежемесячных доплат за напряженный труд работникам муниципальных дошкольных образовательных организаций, муниципальных общеобразовательных организаций</t>
  </si>
  <si>
    <t>Содержание территорий в нормативном состоянии (Управление ЖКХ и РГИ г.Лыткарино)</t>
  </si>
  <si>
    <t>17 2 01 00623</t>
  </si>
  <si>
    <t>10 3 02 73100</t>
  </si>
  <si>
    <t>Аварийно-восстановительные работы на сетях водоснабжения, водоотведения и (или) теплоснабжения за счет средств местного бюджета</t>
  </si>
  <si>
    <t>Ведомственная  структура расходов  бюджета  городского округа  Лыткарино Московской области
 на  2025 год и на плановый период 2026 и 2027 годов</t>
  </si>
  <si>
    <t>Приложение 2</t>
  </si>
  <si>
    <t>Распределение бюджетных ассигнований по целевым статьям
 (муниципальным программам  городского округа Лыткарино и непрограммным направлениям деятельности), 
группам и подгруппам видов расходов классификации расходов бюджета городского округа Лыткарино Московской области 
на 2025 год и на плановый период 2026 и 2027 годов</t>
  </si>
  <si>
    <t xml:space="preserve">Распределение бюджетных ассигнований бюджета  городского округа  Лыткарино Московской области   
по  разделам и подразделам  классификации  расходов  бюджетов
на  2025 год и на плановый период 2026 и 2027 годов </t>
  </si>
  <si>
    <t xml:space="preserve">Распределение бюджетных ассигнований бюджета городского округа Лыткарино Московской области по разделам, подразделам, целевым статьям (муниципальным программам городского округа Лыткарино и непрограммным направлениям деятельности), группам и подгруппам видов расходов классификации расходов бюджетов на 2025 год и на плановый период 2026 и 2027 годов
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</si>
  <si>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 "</t>
  </si>
  <si>
    <t xml:space="preserve">           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</si>
  <si>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общественных территорий муниципальных образований Московской области, площадью менее 0,5 га)</t>
  </si>
  <si>
    <t>17 1 И4 02290</t>
  </si>
  <si>
    <t>17 2 И4 02130</t>
  </si>
  <si>
    <t xml:space="preserve">  </t>
  </si>
  <si>
    <t>Оплата исполнительных листов, судебных издержек</t>
  </si>
  <si>
    <t>99 0 00 00080</t>
  </si>
  <si>
    <t>Исполнение судебных актов</t>
  </si>
  <si>
    <t>Иные расходы (взыскания на средства бюджета)</t>
  </si>
  <si>
    <t>99 0 00 04002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</si>
  <si>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</si>
  <si>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03 1 02 S2970</t>
  </si>
  <si>
    <t>Основное мероприятие "Модернизация (развитие) материально-технической базы, проведение текущего ремонта муниципальных музеев Московской области"</t>
  </si>
  <si>
    <t>Проведение текущего ремонта муниципальных музеев</t>
  </si>
  <si>
    <t>02 2 03 02210</t>
  </si>
  <si>
    <t>02 2 03 00000</t>
  </si>
  <si>
    <t>Основное мероприятие "Модернизация (развитие) материально-технической базы, проведение текущего ремонта муниципальных театрально-концертных и культурно-досуговых учреждений"</t>
  </si>
  <si>
    <t>Проведение текущего ремонта культурно-досуговых учреждений культуры</t>
  </si>
  <si>
    <t>02 4 05 02240</t>
  </si>
  <si>
    <t>02 4 05 00000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</si>
  <si>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</si>
  <si>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17 1 01 01340</t>
  </si>
  <si>
    <t>Основное мероприятие "Организация и проведение мероприятий, направленных на популяризацию добровольчества (волонтерства)"</t>
  </si>
  <si>
    <t>Подпрограмма "Развитие добровольчества (волонтерства) в муниципальном образовании Московской области"</t>
  </si>
  <si>
    <t>Организация и проведение мероприятий (акций) для добровольцев (волонтеров)</t>
  </si>
  <si>
    <t>13 5 01 01520</t>
  </si>
  <si>
    <t>13 5 01 00000</t>
  </si>
  <si>
    <t>13 5 00 00000</t>
  </si>
  <si>
    <t>99 0 00 04004</t>
  </si>
  <si>
    <t>Формирование (увеличение) уставного капитала муниципальных предприятий</t>
  </si>
  <si>
    <t>12 5 01 00810</t>
  </si>
  <si>
    <t>03 1 01 06042</t>
  </si>
  <si>
    <t>850</t>
  </si>
  <si>
    <t>17 2 И4 00000</t>
  </si>
  <si>
    <t>Иные расходы (дополнительные меры социальной поддержки в области национальной безопасности и  правоохранительной  деятельности)</t>
  </si>
  <si>
    <t>(Приложение 3</t>
  </si>
  <si>
    <r>
      <t xml:space="preserve">к бюджету городского округа Лыткарино Московской области на  2025 год  и  на плановый период 2026 и 2027 годов, утвержденному решением Совета депутатов городского округа Лыткарино 
от </t>
    </r>
    <r>
      <rPr>
        <u/>
        <sz val="12"/>
        <rFont val="Times New Roman"/>
        <family val="1"/>
        <charset val="204"/>
      </rPr>
      <t xml:space="preserve">   12.12.2024   </t>
    </r>
    <r>
      <rPr>
        <sz val="12"/>
        <rFont val="Times New Roman"/>
        <family val="1"/>
        <charset val="204"/>
      </rPr>
      <t>№</t>
    </r>
    <r>
      <rPr>
        <u/>
        <sz val="12"/>
        <rFont val="Times New Roman"/>
        <family val="1"/>
        <charset val="204"/>
      </rPr>
      <t xml:space="preserve">   545/63)</t>
    </r>
  </si>
  <si>
    <t>к  Решению Совета депутатов  городского округа Лыткарино "О внесении изменений и дополнений в Решение Совета депутатов городского округа Лыткарино " О бюджете городского округа Лыткарино Московской области   на   2025 год   и на  плановый   период 2026 и 2027 годов" 
от _______________ № _____</t>
  </si>
  <si>
    <t>(Приложение 5</t>
  </si>
  <si>
    <t>(Приложение 2</t>
  </si>
  <si>
    <t>Устройство систем наружного освещения в рамках реализации проекта "Светлый город"</t>
  </si>
  <si>
    <t>17 1 01 02120</t>
  </si>
  <si>
    <t>Реализация мероприятий по обеспечению жильем молодых семей за счет средств местного бюджета</t>
  </si>
  <si>
    <t>09 2 01 74970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</si>
  <si>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</si>
  <si>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 1 02 S3240</t>
  </si>
  <si>
    <t>Реализация мероприятий по строительству и реконструкции объектов теплоснабжения муниципальной собственности (реконструкция котельной № 2 по адресу: Московская область, г.о. Лыткарино, ул.Парковая, стр. 32 (в т. ч. ПИР)</t>
  </si>
  <si>
    <t>10 3 01 SТ023</t>
  </si>
  <si>
    <t>Реализация мероприятий по капитальному ремонту объектов теплоснабжения</t>
  </si>
  <si>
    <t>Основное мероприятие "Повышение степени пожарной безопасности"</t>
  </si>
  <si>
    <t>Выполнение работ по обеспечению пожарной безопасности</t>
  </si>
  <si>
    <t>03 1 03 00000</t>
  </si>
  <si>
    <t>03 1 03 01590</t>
  </si>
  <si>
    <t>Реализация отдельных мероприятий муниципальных программ за счет средств местного бюджета</t>
  </si>
  <si>
    <t>10 8 01 71430</t>
  </si>
  <si>
    <t>10 3 01 SТ01Ж</t>
  </si>
  <si>
    <t>10 3 01 SТ05Ж</t>
  </si>
  <si>
    <t>Реализация первоочередных мероприятий по строительству и реконструкции объектов теплоснабжения муниципальной собственности (в том числе технологическое присоединение)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</si>
  <si>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</si>
  <si>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04 2 03 00410</t>
  </si>
  <si>
    <t>Реализация мероприятий по капитальному ремонту сетей теплоснабжения на территории муниципальных образований</t>
  </si>
  <si>
    <t>10 3 02 SТ09Ж</t>
  </si>
  <si>
    <t>Подпрограмма "Эффективное местное самоуправление"</t>
  </si>
  <si>
    <t>13 3 00 00000</t>
  </si>
  <si>
    <t>13 3 02 00000</t>
  </si>
  <si>
    <t>Основное мероприятие "Практики инициативного бюджетирования"</t>
  </si>
  <si>
    <t>Реализация на территориях муниципальных образований проектов граждан, сформированных в рамках практик инициативного бюджетирования (обустройство футбольного поля с искусственным покрытием на стадионе МОУ СОШ №2 корпус 2 по адресу: МО, г. Лыткарино, ул. Октябрьская, д. 27)</t>
  </si>
  <si>
    <t>13 3 02 S3051</t>
  </si>
  <si>
    <t>Реализация на территориях муниципальных образований проектов граждан, сформированных в рамках практик инициативного бюджетирования</t>
  </si>
  <si>
    <t>13 3 02 S3050</t>
  </si>
  <si>
    <t>Предоставление детям отдельных категорий граждан права бесплатного посещения занятий по дополнительным образовательным программам в области искусств, реализуемым на основе договоров об оказании платных образовательных услуг в муниципальных организациях дополнительного образования детей</t>
  </si>
  <si>
    <t>02 6 05 S0560</t>
  </si>
  <si>
    <t>Расходы на обеспечение деятельности (оказание услуг) муниципальных учреждений - организации дополнительного образования (мероприятия в сфере образования)</t>
  </si>
  <si>
    <t>03 2 02 06062</t>
  </si>
  <si>
    <t>10 2 02 70310</t>
  </si>
  <si>
    <t>Капитальный ремонт, приобретение, монтаж и ввод в эксплуатацию канализационных коллекторов, канализационных (ливневых) насосных станций за счет средств местного бюджета</t>
  </si>
  <si>
    <t>Подпрограмма "Системы водоотведения"</t>
  </si>
  <si>
    <t>10 2 02 00000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</si>
  <si>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</si>
  <si>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Основное мероприятие "Модернизация (развитие) материально-технической базы, проведение текущего ремонта муниципальных библиотек Московской области"</t>
  </si>
  <si>
    <t>Модернизация (развитие) материально-технической базы муниципальных библиотек</t>
  </si>
  <si>
    <t>02 3 02 00000</t>
  </si>
  <si>
    <t>02 3 02 01600</t>
  </si>
  <si>
    <t>Основное мероприятие "Сохранение, использование и популяризация объектов культурного наследия, находящихся в собственности муниципального образования"</t>
  </si>
  <si>
    <t>Сохранение, использование и популяризация объектов культурного наследия (памятников истории и культуры), находящихся в собственности муниципального образования</t>
  </si>
  <si>
    <t>Подпрограмма "Сохранение, использование, популяризация и государственная охрана объектов культурного наследия (памятников истории и культуры) народов Российской Федерации"</t>
  </si>
  <si>
    <t>02 1 00 00000</t>
  </si>
  <si>
    <t>02 1 02 00000</t>
  </si>
  <si>
    <t>02 1 02 00520</t>
  </si>
  <si>
    <t>14 2 02 00000</t>
  </si>
  <si>
    <t>Основное мероприятие "Строительство и реконструкция автомобильных дорог местного значения"</t>
  </si>
  <si>
    <t>Строительство (реконструкция) объектов дорожного хозяйства местного значения за счет средств дорожного фонда муниципального образования</t>
  </si>
  <si>
    <t>14 2 02 9Д050</t>
  </si>
  <si>
    <t>Муниципальная программа "Предпринимательство"</t>
  </si>
  <si>
    <t>11 0 00 00000</t>
  </si>
  <si>
    <t>Подпрограмма "Развитие малого и среднего предпринимательства"</t>
  </si>
  <si>
    <t>11 3 00 00000</t>
  </si>
  <si>
    <t>Основное мероприятие "Реализация механизмов муниципальной поддержки субъектов малого и среднего предпринимательства"</t>
  </si>
  <si>
    <t>11 3 02 00000</t>
  </si>
  <si>
    <t>Содействие развитию малого и среднего предпринимательства</t>
  </si>
  <si>
    <t>11 3 02 00750</t>
  </si>
  <si>
    <t>Стипендии</t>
  </si>
  <si>
    <t>Ликвидация несанкционированных навалов мусора</t>
  </si>
  <si>
    <t>17 2 01 01790</t>
  </si>
  <si>
    <t>Основное мероприятие "Содержание автомобильных дорог местного значения"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</si>
  <si>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</t>
  </si>
  <si>
    <t>14 2 03 00000</t>
  </si>
  <si>
    <t>14 2 03 9Д070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</si>
  <si>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муниципальных образований"</t>
  </si>
  <si>
    <t>Организация в границах муниципального образования электро-, тепло-, газо- и водоснабжения населения, водоотведения, снабжения населения топливом</t>
  </si>
  <si>
    <t>10 3 05 00000</t>
  </si>
  <si>
    <t>10 3 05 00190</t>
  </si>
  <si>
    <t>Строительство и реконструкция объектов теплоснабжения (Реконструкция котельной № 1 г.Лыткарино (в т.ч. ПИР)</t>
  </si>
  <si>
    <t>10 3 01 SТ011</t>
  </si>
  <si>
    <t>Приложение 4</t>
  </si>
  <si>
    <t>(Приложение 4</t>
  </si>
  <si>
    <t>Достижение показателей деятельности органов исполнительной власти субъектов Российской Федерации (поощрение муниципальных управленческих команд за достижение показателей оценки эффективности деятельности)</t>
  </si>
  <si>
    <t>99 0 00 55491</t>
  </si>
  <si>
    <t>Достижение показателей деятельности органов исполнительной власти субъектов Российской Федерации (поощрение муниципальных управленческих команд за выполнение отдельных поручений и указаний Президента Российской Федерации)</t>
  </si>
  <si>
    <t>99 0 00 55493</t>
  </si>
  <si>
    <t>Сохранение достигнутого уровня заработной платы отдельных категорий работников муниципальных организаций (учреждений) социальной сферы</t>
  </si>
  <si>
    <t>03 2 02 S0370</t>
  </si>
  <si>
    <t>Иные расходы (в области национальной безопасности и  правоохранительной  деятельности)</t>
  </si>
  <si>
    <t>Создание и содержание единой базы (облачной платформы) ведения бюджетного (бухгалтерского) учета в муниципальных учреждениях муниципального образования Московской области</t>
  </si>
  <si>
    <t>12 5 01 02050</t>
  </si>
  <si>
    <t>Основное мероприятие "Сохранение достигнутого уровня заработной платы отдельных категорий работников учреждений физической культуры и спорта"</t>
  </si>
  <si>
    <t>05 2 04 S0370</t>
  </si>
  <si>
    <t>05 2 04 00000</t>
  </si>
  <si>
    <t>02 4 07 S0370</t>
  </si>
  <si>
    <t>17 2 01 02170</t>
  </si>
  <si>
    <t>Приобретение коммунальной техники за счет средств местного бюджета</t>
  </si>
  <si>
    <t>Резервные фонды</t>
  </si>
  <si>
    <t>Резервный фонд на предупреждение и ликвидацию чрезвычайных ситуаций и последствий стихийных бедствий</t>
  </si>
  <si>
    <t>99 0 00 00070</t>
  </si>
  <si>
    <t>11</t>
  </si>
  <si>
    <t xml:space="preserve">  Резервные фонды</t>
  </si>
  <si>
    <t>к  Решению Совета депутатов  городского округа Лыткарино "О внесении изменений и дополнений в Решение Совета депутатов городского округа Лыткарино " О бюджете городского округа Лыткарино Московской области   на   2025 год   и на  плановый   период 2026 и 2027 годов" 
от ___________  № _____</t>
  </si>
  <si>
    <t>к  Решению Совета депутатов  городского округа Лыткарино "О внесении изменений и дополнений в Решение Совета депутатов городского округа Лыткарино " О бюджете городского округа Лыткарино Московской области   на   2025 год   и на  плановый   период 2026 и 2027 годов" 
от 20.11.2025 № 30/3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</si>
</sst>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66" x14ac:knownFonts="1">
    <font>
      <sz val="10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sz val="12"/>
      <name val="Arial Cyr"/>
      <charset val="204"/>
    </font>
    <font>
      <sz val="10"/>
      <name val="Arial Cyr"/>
      <charset val="204"/>
    </font>
    <font>
      <sz val="11"/>
      <name val="Times New Roman CYR"/>
      <family val="1"/>
      <charset val="204"/>
    </font>
    <font>
      <sz val="10"/>
      <name val="Times New Roman Cyr"/>
      <family val="1"/>
      <charset val="204"/>
    </font>
    <font>
      <sz val="12"/>
      <name val="Times New Roman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 Cyr"/>
      <family val="1"/>
      <charset val="204"/>
    </font>
    <font>
      <b/>
      <sz val="12"/>
      <name val="Arial Cyr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 Cyr"/>
      <charset val="204"/>
    </font>
    <font>
      <sz val="11"/>
      <name val="Arial Cyr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0"/>
      <name val="Arial Cyr"/>
      <charset val="204"/>
    </font>
    <font>
      <b/>
      <sz val="11"/>
      <name val="Times New Roman Cyr"/>
      <charset val="204"/>
    </font>
    <font>
      <sz val="16"/>
      <name val="Arial Cyr"/>
      <charset val="204"/>
    </font>
    <font>
      <b/>
      <sz val="16"/>
      <name val="Times New Roman Cyr"/>
      <family val="1"/>
      <charset val="204"/>
    </font>
    <font>
      <b/>
      <sz val="14"/>
      <name val="Times New Roman Cyr"/>
      <charset val="204"/>
    </font>
    <font>
      <sz val="14"/>
      <name val="Times New Roman Cyr"/>
      <family val="1"/>
      <charset val="204"/>
    </font>
    <font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4"/>
      <name val="Times New Roman Cyr"/>
      <charset val="204"/>
    </font>
    <font>
      <sz val="12"/>
      <color rgb="FFFF0000"/>
      <name val="Times New Roman"/>
      <family val="1"/>
      <charset val="204"/>
    </font>
    <font>
      <sz val="12"/>
      <color rgb="FFFF0000"/>
      <name val="Times New Roman Cyr"/>
      <family val="1"/>
      <charset val="204"/>
    </font>
    <font>
      <sz val="10"/>
      <color rgb="FFFF0000"/>
      <name val="Arial Cyr"/>
      <charset val="204"/>
    </font>
    <font>
      <sz val="10"/>
      <color rgb="FFFF0000"/>
      <name val="Times New Roman Cyr"/>
      <family val="1"/>
      <charset val="204"/>
    </font>
    <font>
      <sz val="10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sz val="13"/>
      <name val="Times New Roman Cyr"/>
      <family val="1"/>
      <charset val="204"/>
    </font>
    <font>
      <strike/>
      <sz val="13"/>
      <name val="Cambria"/>
      <family val="1"/>
      <charset val="204"/>
    </font>
    <font>
      <b/>
      <sz val="11"/>
      <name val="Times New Roman"/>
      <family val="1"/>
      <charset val="204"/>
    </font>
    <font>
      <b/>
      <sz val="11"/>
      <name val="Times New Roman Cyr"/>
      <family val="1"/>
      <charset val="204"/>
    </font>
    <font>
      <b/>
      <sz val="13.5"/>
      <name val="Times New Roman Cyr"/>
      <family val="1"/>
      <charset val="204"/>
    </font>
    <font>
      <sz val="13.5"/>
      <name val="Arial Cyr"/>
      <charset val="204"/>
    </font>
    <font>
      <sz val="12"/>
      <color rgb="FF000000"/>
      <name val="Times New Roman"/>
      <family val="1"/>
      <charset val="204"/>
    </font>
    <font>
      <sz val="13"/>
      <color rgb="FFFFC000"/>
      <name val="Times New Roman"/>
      <family val="1"/>
      <charset val="204"/>
    </font>
    <font>
      <sz val="8"/>
      <color rgb="FF000000"/>
      <name val="Segoe UI"/>
      <family val="2"/>
      <charset val="204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Times New Roman Cyr"/>
      <charset val="204"/>
    </font>
    <font>
      <sz val="11"/>
      <color theme="1"/>
      <name val="Times New Roman CYR"/>
      <family val="1"/>
      <charset val="204"/>
    </font>
    <font>
      <b/>
      <sz val="13"/>
      <color theme="1"/>
      <name val="Times New Roman"/>
      <family val="1"/>
      <charset val="204"/>
    </font>
    <font>
      <b/>
      <sz val="12"/>
      <color theme="1"/>
      <name val="Times New Roman Cyr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Times New Roman Cyr"/>
      <charset val="204"/>
    </font>
    <font>
      <sz val="12"/>
      <color theme="1"/>
      <name val="Times New Roman Cyr"/>
      <family val="1"/>
      <charset val="204"/>
    </font>
    <font>
      <sz val="13"/>
      <color theme="1"/>
      <name val="Times New Roman"/>
      <family val="1"/>
      <charset val="204"/>
    </font>
    <font>
      <sz val="10"/>
      <color theme="1"/>
      <name val="Arial Cyr"/>
      <charset val="204"/>
    </font>
    <font>
      <sz val="12"/>
      <color theme="1"/>
      <name val="Arial Cyr"/>
      <charset val="204"/>
    </font>
    <font>
      <sz val="14"/>
      <color theme="1"/>
      <name val="Times New Roman Cyr"/>
      <family val="1"/>
      <charset val="204"/>
    </font>
    <font>
      <b/>
      <sz val="14"/>
      <color theme="1"/>
      <name val="Times New Roman Cyr"/>
      <charset val="204"/>
    </font>
    <font>
      <b/>
      <sz val="14"/>
      <color theme="1"/>
      <name val="Times New Roman Cyr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3"/>
      <color rgb="FFC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46" fillId="0" borderId="0"/>
  </cellStyleXfs>
  <cellXfs count="714">
    <xf numFmtId="0" fontId="0" fillId="0" borderId="0" xfId="0"/>
    <xf numFmtId="0" fontId="3" fillId="3" borderId="1" xfId="0" quotePrefix="1" applyFont="1" applyFill="1" applyBorder="1" applyAlignment="1">
      <alignment horizontal="right"/>
    </xf>
    <xf numFmtId="0" fontId="3" fillId="3" borderId="1" xfId="0" applyFont="1" applyFill="1" applyBorder="1" applyAlignment="1">
      <alignment horizontal="right"/>
    </xf>
    <xf numFmtId="0" fontId="21" fillId="3" borderId="0" xfId="0" applyFont="1" applyFill="1"/>
    <xf numFmtId="0" fontId="0" fillId="0" borderId="0" xfId="0" applyAlignment="1">
      <alignment vertic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/>
    </xf>
    <xf numFmtId="0" fontId="19" fillId="2" borderId="0" xfId="0" applyFont="1" applyFill="1" applyAlignment="1">
      <alignment horizontal="right" vertical="center"/>
    </xf>
    <xf numFmtId="0" fontId="10" fillId="3" borderId="0" xfId="0" applyFont="1" applyFill="1" applyAlignment="1">
      <alignment horizontal="right"/>
    </xf>
    <xf numFmtId="0" fontId="9" fillId="3" borderId="14" xfId="0" quotePrefix="1" applyFont="1" applyFill="1" applyBorder="1" applyAlignment="1">
      <alignment horizontal="right"/>
    </xf>
    <xf numFmtId="0" fontId="10" fillId="3" borderId="0" xfId="0" applyFont="1" applyFill="1" applyAlignment="1">
      <alignment wrapText="1"/>
    </xf>
    <xf numFmtId="165" fontId="19" fillId="3" borderId="0" xfId="0" applyNumberFormat="1" applyFont="1" applyFill="1" applyAlignment="1">
      <alignment horizontal="right"/>
    </xf>
    <xf numFmtId="0" fontId="3" fillId="3" borderId="0" xfId="0" applyFont="1" applyFill="1" applyAlignment="1">
      <alignment horizontal="right"/>
    </xf>
    <xf numFmtId="0" fontId="9" fillId="3" borderId="1" xfId="0" quotePrefix="1" applyFont="1" applyFill="1" applyBorder="1" applyAlignment="1">
      <alignment horizontal="right"/>
    </xf>
    <xf numFmtId="0" fontId="3" fillId="3" borderId="0" xfId="0" applyFont="1" applyFill="1" applyAlignment="1">
      <alignment wrapText="1"/>
    </xf>
    <xf numFmtId="0" fontId="3" fillId="3" borderId="0" xfId="0" applyFont="1" applyFill="1"/>
    <xf numFmtId="165" fontId="19" fillId="3" borderId="0" xfId="0" applyNumberFormat="1" applyFont="1" applyFill="1"/>
    <xf numFmtId="0" fontId="3" fillId="3" borderId="0" xfId="0" applyFont="1" applyFill="1" applyAlignment="1">
      <alignment horizontal="center"/>
    </xf>
    <xf numFmtId="0" fontId="10" fillId="3" borderId="0" xfId="0" applyFont="1" applyFill="1" applyAlignment="1">
      <alignment vertical="center" wrapText="1"/>
    </xf>
    <xf numFmtId="164" fontId="19" fillId="3" borderId="0" xfId="0" applyNumberFormat="1" applyFont="1" applyFill="1" applyAlignment="1">
      <alignment horizontal="right"/>
    </xf>
    <xf numFmtId="0" fontId="9" fillId="3" borderId="2" xfId="0" quotePrefix="1" applyFont="1" applyFill="1" applyBorder="1" applyAlignment="1">
      <alignment horizontal="right"/>
    </xf>
    <xf numFmtId="0" fontId="3" fillId="3" borderId="6" xfId="0" applyFont="1" applyFill="1" applyBorder="1" applyAlignment="1">
      <alignment horizontal="center"/>
    </xf>
    <xf numFmtId="164" fontId="10" fillId="3" borderId="6" xfId="0" applyNumberFormat="1" applyFont="1" applyFill="1" applyBorder="1" applyAlignment="1">
      <alignment horizontal="right"/>
    </xf>
    <xf numFmtId="165" fontId="10" fillId="3" borderId="0" xfId="0" applyNumberFormat="1" applyFont="1" applyFill="1" applyAlignment="1">
      <alignment horizontal="right"/>
    </xf>
    <xf numFmtId="164" fontId="12" fillId="3" borderId="6" xfId="0" applyNumberFormat="1" applyFont="1" applyFill="1" applyBorder="1" applyAlignment="1">
      <alignment horizontal="right"/>
    </xf>
    <xf numFmtId="165" fontId="10" fillId="3" borderId="6" xfId="0" applyNumberFormat="1" applyFont="1" applyFill="1" applyBorder="1" applyAlignment="1">
      <alignment horizontal="right"/>
    </xf>
    <xf numFmtId="164" fontId="10" fillId="3" borderId="13" xfId="0" applyNumberFormat="1" applyFont="1" applyFill="1" applyBorder="1" applyAlignment="1">
      <alignment horizontal="right"/>
    </xf>
    <xf numFmtId="0" fontId="3" fillId="3" borderId="0" xfId="0" applyFont="1" applyFill="1" applyAlignment="1">
      <alignment horizontal="right" wrapText="1"/>
    </xf>
    <xf numFmtId="0" fontId="6" fillId="3" borderId="0" xfId="0" applyFont="1" applyFill="1"/>
    <xf numFmtId="0" fontId="8" fillId="3" borderId="0" xfId="0" applyFont="1" applyFill="1"/>
    <xf numFmtId="0" fontId="10" fillId="3" borderId="0" xfId="0" applyFont="1" applyFill="1"/>
    <xf numFmtId="164" fontId="11" fillId="3" borderId="0" xfId="0" applyNumberFormat="1" applyFont="1" applyFill="1"/>
    <xf numFmtId="165" fontId="21" fillId="3" borderId="0" xfId="0" applyNumberFormat="1" applyFont="1" applyFill="1"/>
    <xf numFmtId="0" fontId="11" fillId="3" borderId="0" xfId="0" applyFont="1" applyFill="1"/>
    <xf numFmtId="0" fontId="0" fillId="3" borderId="0" xfId="0" applyFill="1"/>
    <xf numFmtId="0" fontId="23" fillId="3" borderId="0" xfId="0" applyFont="1" applyFill="1"/>
    <xf numFmtId="0" fontId="4" fillId="3" borderId="0" xfId="0" applyFont="1" applyFill="1" applyAlignment="1">
      <alignment horizontal="centerContinuous"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164" fontId="12" fillId="3" borderId="0" xfId="0" applyNumberFormat="1" applyFont="1" applyFill="1" applyAlignment="1">
      <alignment horizontal="center" vertical="center" wrapText="1"/>
    </xf>
    <xf numFmtId="0" fontId="21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22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164" fontId="11" fillId="3" borderId="0" xfId="0" applyNumberFormat="1" applyFont="1" applyFill="1" applyAlignment="1">
      <alignment horizontal="center" vertical="center"/>
    </xf>
    <xf numFmtId="165" fontId="22" fillId="3" borderId="0" xfId="0" applyNumberFormat="1" applyFont="1" applyFill="1" applyAlignment="1">
      <alignment horizontal="center" vertical="center" wrapText="1"/>
    </xf>
    <xf numFmtId="0" fontId="7" fillId="3" borderId="0" xfId="0" applyFont="1" applyFill="1" applyAlignment="1">
      <alignment horizontal="center"/>
    </xf>
    <xf numFmtId="0" fontId="18" fillId="3" borderId="0" xfId="0" applyFont="1" applyFill="1" applyAlignment="1">
      <alignment horizontal="center"/>
    </xf>
    <xf numFmtId="164" fontId="16" fillId="3" borderId="0" xfId="0" applyNumberFormat="1" applyFont="1" applyFill="1" applyAlignment="1">
      <alignment horizontal="center"/>
    </xf>
    <xf numFmtId="1" fontId="16" fillId="3" borderId="0" xfId="0" applyNumberFormat="1" applyFont="1" applyFill="1" applyAlignment="1">
      <alignment horizontal="center"/>
    </xf>
    <xf numFmtId="1" fontId="19" fillId="3" borderId="0" xfId="0" applyNumberFormat="1" applyFont="1" applyFill="1" applyAlignment="1">
      <alignment horizontal="center"/>
    </xf>
    <xf numFmtId="0" fontId="7" fillId="3" borderId="0" xfId="0" applyFont="1" applyFill="1" applyAlignment="1">
      <alignment horizontal="right"/>
    </xf>
    <xf numFmtId="0" fontId="4" fillId="3" borderId="0" xfId="0" applyFont="1" applyFill="1" applyAlignment="1">
      <alignment wrapText="1"/>
    </xf>
    <xf numFmtId="0" fontId="17" fillId="3" borderId="0" xfId="0" quotePrefix="1" applyFont="1" applyFill="1" applyAlignment="1">
      <alignment horizontal="right"/>
    </xf>
    <xf numFmtId="0" fontId="4" fillId="3" borderId="0" xfId="0" applyFont="1" applyFill="1" applyAlignment="1">
      <alignment horizontal="right" wrapText="1"/>
    </xf>
    <xf numFmtId="0" fontId="4" fillId="3" borderId="0" xfId="0" quotePrefix="1" applyFont="1" applyFill="1" applyAlignment="1">
      <alignment horizontal="right"/>
    </xf>
    <xf numFmtId="0" fontId="4" fillId="3" borderId="0" xfId="0" applyFont="1" applyFill="1" applyAlignment="1">
      <alignment horizontal="right"/>
    </xf>
    <xf numFmtId="164" fontId="12" fillId="3" borderId="0" xfId="0" applyNumberFormat="1" applyFont="1" applyFill="1"/>
    <xf numFmtId="164" fontId="4" fillId="3" borderId="0" xfId="0" applyNumberFormat="1" applyFont="1" applyFill="1"/>
    <xf numFmtId="164" fontId="14" fillId="3" borderId="0" xfId="0" applyNumberFormat="1" applyFont="1" applyFill="1"/>
    <xf numFmtId="165" fontId="20" fillId="3" borderId="0" xfId="0" applyNumberFormat="1" applyFont="1" applyFill="1"/>
    <xf numFmtId="0" fontId="14" fillId="3" borderId="0" xfId="0" applyFont="1" applyFill="1"/>
    <xf numFmtId="0" fontId="9" fillId="3" borderId="0" xfId="0" quotePrefix="1" applyFont="1" applyFill="1" applyAlignment="1">
      <alignment horizontal="right"/>
    </xf>
    <xf numFmtId="0" fontId="3" fillId="3" borderId="0" xfId="0" quotePrefix="1" applyFont="1" applyFill="1" applyAlignment="1">
      <alignment horizontal="right"/>
    </xf>
    <xf numFmtId="164" fontId="10" fillId="3" borderId="0" xfId="0" applyNumberFormat="1" applyFont="1" applyFill="1"/>
    <xf numFmtId="164" fontId="5" fillId="3" borderId="0" xfId="0" applyNumberFormat="1" applyFont="1" applyFill="1"/>
    <xf numFmtId="165" fontId="10" fillId="3" borderId="0" xfId="0" applyNumberFormat="1" applyFont="1" applyFill="1"/>
    <xf numFmtId="0" fontId="3" fillId="3" borderId="0" xfId="0" applyFont="1" applyFill="1" applyAlignment="1">
      <alignment horizontal="left" wrapText="1" indent="2"/>
    </xf>
    <xf numFmtId="0" fontId="3" fillId="3" borderId="0" xfId="0" applyFont="1" applyFill="1" applyAlignment="1">
      <alignment horizontal="left" wrapText="1" indent="3"/>
    </xf>
    <xf numFmtId="0" fontId="3" fillId="3" borderId="0" xfId="0" applyFont="1" applyFill="1" applyAlignment="1">
      <alignment horizontal="left" wrapText="1" indent="4"/>
    </xf>
    <xf numFmtId="164" fontId="3" fillId="3" borderId="0" xfId="0" applyNumberFormat="1" applyFont="1" applyFill="1"/>
    <xf numFmtId="0" fontId="3" fillId="3" borderId="0" xfId="0" applyFont="1" applyFill="1" applyAlignment="1">
      <alignment horizontal="left" wrapText="1"/>
    </xf>
    <xf numFmtId="0" fontId="1" fillId="3" borderId="0" xfId="0" applyFont="1" applyFill="1"/>
    <xf numFmtId="0" fontId="9" fillId="3" borderId="0" xfId="0" applyFont="1" applyFill="1" applyAlignment="1">
      <alignment wrapText="1"/>
    </xf>
    <xf numFmtId="0" fontId="12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5" fillId="3" borderId="0" xfId="0" applyFont="1" applyFill="1"/>
    <xf numFmtId="49" fontId="3" fillId="3" borderId="0" xfId="0" applyNumberFormat="1" applyFont="1" applyFill="1" applyAlignment="1">
      <alignment horizontal="right"/>
    </xf>
    <xf numFmtId="0" fontId="3" fillId="3" borderId="0" xfId="0" quotePrefix="1" applyFont="1" applyFill="1"/>
    <xf numFmtId="3" fontId="12" fillId="3" borderId="0" xfId="0" applyNumberFormat="1" applyFont="1" applyFill="1"/>
    <xf numFmtId="0" fontId="3" fillId="3" borderId="0" xfId="0" quotePrefix="1" applyFont="1" applyFill="1" applyAlignment="1">
      <alignment horizontal="left" wrapText="1" indent="4"/>
    </xf>
    <xf numFmtId="0" fontId="3" fillId="3" borderId="1" xfId="0" applyFont="1" applyFill="1" applyBorder="1" applyAlignment="1">
      <alignment wrapText="1"/>
    </xf>
    <xf numFmtId="165" fontId="19" fillId="3" borderId="1" xfId="0" applyNumberFormat="1" applyFont="1" applyFill="1" applyBorder="1"/>
    <xf numFmtId="0" fontId="17" fillId="3" borderId="0" xfId="0" applyFont="1" applyFill="1" applyAlignment="1">
      <alignment horizontal="left" wrapText="1"/>
    </xf>
    <xf numFmtId="0" fontId="4" fillId="3" borderId="0" xfId="0" applyFont="1" applyFill="1"/>
    <xf numFmtId="0" fontId="12" fillId="3" borderId="0" xfId="0" applyFont="1" applyFill="1"/>
    <xf numFmtId="0" fontId="32" fillId="3" borderId="0" xfId="0" applyFont="1" applyFill="1" applyAlignment="1">
      <alignment wrapText="1"/>
    </xf>
    <xf numFmtId="0" fontId="32" fillId="3" borderId="0" xfId="0" applyFont="1" applyFill="1" applyAlignment="1">
      <alignment horizontal="right" wrapText="1"/>
    </xf>
    <xf numFmtId="0" fontId="32" fillId="3" borderId="0" xfId="0" applyFont="1" applyFill="1"/>
    <xf numFmtId="0" fontId="33" fillId="3" borderId="0" xfId="0" applyFont="1" applyFill="1"/>
    <xf numFmtId="0" fontId="34" fillId="3" borderId="0" xfId="0" applyFont="1" applyFill="1"/>
    <xf numFmtId="0" fontId="31" fillId="3" borderId="0" xfId="0" applyFont="1" applyFill="1"/>
    <xf numFmtId="164" fontId="35" fillId="3" borderId="0" xfId="0" applyNumberFormat="1" applyFont="1" applyFill="1"/>
    <xf numFmtId="165" fontId="33" fillId="3" borderId="0" xfId="0" applyNumberFormat="1" applyFont="1" applyFill="1"/>
    <xf numFmtId="0" fontId="35" fillId="3" borderId="0" xfId="0" applyFont="1" applyFill="1"/>
    <xf numFmtId="164" fontId="15" fillId="3" borderId="0" xfId="0" applyNumberFormat="1" applyFont="1" applyFill="1"/>
    <xf numFmtId="165" fontId="5" fillId="3" borderId="0" xfId="0" applyNumberFormat="1" applyFont="1" applyFill="1"/>
    <xf numFmtId="164" fontId="10" fillId="3" borderId="0" xfId="0" applyNumberFormat="1" applyFont="1" applyFill="1" applyAlignment="1">
      <alignment horizontal="right"/>
    </xf>
    <xf numFmtId="0" fontId="16" fillId="3" borderId="0" xfId="0" applyFont="1" applyFill="1"/>
    <xf numFmtId="0" fontId="0" fillId="3" borderId="0" xfId="0" applyFill="1" applyAlignment="1">
      <alignment horizontal="right"/>
    </xf>
    <xf numFmtId="0" fontId="0" fillId="3" borderId="0" xfId="0" applyFill="1" applyAlignment="1">
      <alignment horizontal="center"/>
    </xf>
    <xf numFmtId="0" fontId="1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10" fillId="3" borderId="15" xfId="0" applyFont="1" applyFill="1" applyBorder="1" applyAlignment="1">
      <alignment horizontal="right"/>
    </xf>
    <xf numFmtId="165" fontId="10" fillId="3" borderId="9" xfId="0" applyNumberFormat="1" applyFont="1" applyFill="1" applyBorder="1" applyAlignment="1">
      <alignment horizontal="right"/>
    </xf>
    <xf numFmtId="49" fontId="10" fillId="5" borderId="1" xfId="0" applyNumberFormat="1" applyFont="1" applyFill="1" applyBorder="1" applyAlignment="1" applyProtection="1">
      <alignment horizontal="center" vertical="center" wrapText="1"/>
      <protection locked="0" hidden="1"/>
    </xf>
    <xf numFmtId="164" fontId="10" fillId="3" borderId="8" xfId="0" applyNumberFormat="1" applyFont="1" applyFill="1" applyBorder="1" applyAlignment="1">
      <alignment horizontal="right"/>
    </xf>
    <xf numFmtId="0" fontId="10" fillId="5" borderId="1" xfId="0" applyFont="1" applyFill="1" applyBorder="1" applyAlignment="1" applyProtection="1">
      <alignment horizontal="left" wrapText="1"/>
      <protection locked="0" hidden="1"/>
    </xf>
    <xf numFmtId="0" fontId="19" fillId="3" borderId="0" xfId="0" applyFont="1" applyFill="1"/>
    <xf numFmtId="0" fontId="19" fillId="3" borderId="0" xfId="0" applyFont="1" applyFill="1" applyAlignment="1">
      <alignment horizontal="right"/>
    </xf>
    <xf numFmtId="0" fontId="36" fillId="3" borderId="0" xfId="0" applyFont="1" applyFill="1" applyAlignment="1">
      <alignment horizontal="center"/>
    </xf>
    <xf numFmtId="164" fontId="0" fillId="3" borderId="0" xfId="0" applyNumberFormat="1" applyFill="1"/>
    <xf numFmtId="164" fontId="18" fillId="3" borderId="0" xfId="0" applyNumberFormat="1" applyFont="1" applyFill="1" applyAlignment="1">
      <alignment horizontal="center"/>
    </xf>
    <xf numFmtId="164" fontId="0" fillId="3" borderId="0" xfId="0" applyNumberFormat="1" applyFill="1" applyAlignment="1">
      <alignment vertical="center"/>
    </xf>
    <xf numFmtId="0" fontId="21" fillId="3" borderId="0" xfId="0" applyFont="1" applyFill="1" applyAlignment="1">
      <alignment vertical="center"/>
    </xf>
    <xf numFmtId="49" fontId="10" fillId="3" borderId="6" xfId="0" applyNumberFormat="1" applyFont="1" applyFill="1" applyBorder="1" applyAlignment="1" applyProtection="1">
      <alignment horizontal="center" wrapText="1"/>
      <protection locked="0" hidden="1"/>
    </xf>
    <xf numFmtId="0" fontId="27" fillId="0" borderId="0" xfId="0" applyFont="1" applyAlignment="1">
      <alignment vertical="center"/>
    </xf>
    <xf numFmtId="164" fontId="3" fillId="3" borderId="6" xfId="0" quotePrefix="1" applyNumberFormat="1" applyFont="1" applyFill="1" applyBorder="1" applyAlignment="1">
      <alignment horizontal="right"/>
    </xf>
    <xf numFmtId="0" fontId="10" fillId="3" borderId="0" xfId="0" applyFont="1" applyFill="1" applyAlignment="1">
      <alignment horizontal="center"/>
    </xf>
    <xf numFmtId="0" fontId="10" fillId="3" borderId="15" xfId="0" applyFont="1" applyFill="1" applyBorder="1" applyAlignment="1">
      <alignment horizontal="center"/>
    </xf>
    <xf numFmtId="0" fontId="40" fillId="3" borderId="24" xfId="0" applyFont="1" applyFill="1" applyBorder="1" applyAlignment="1">
      <alignment horizontal="center" vertical="center"/>
    </xf>
    <xf numFmtId="165" fontId="39" fillId="3" borderId="10" xfId="0" applyNumberFormat="1" applyFont="1" applyFill="1" applyBorder="1" applyAlignment="1">
      <alignment horizontal="center" vertical="center" wrapText="1"/>
    </xf>
    <xf numFmtId="164" fontId="39" fillId="3" borderId="10" xfId="0" applyNumberFormat="1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left" wrapText="1"/>
    </xf>
    <xf numFmtId="0" fontId="17" fillId="3" borderId="14" xfId="0" quotePrefix="1" applyFont="1" applyFill="1" applyBorder="1" applyAlignment="1">
      <alignment horizontal="right"/>
    </xf>
    <xf numFmtId="0" fontId="10" fillId="3" borderId="14" xfId="0" quotePrefix="1" applyFont="1" applyFill="1" applyBorder="1" applyAlignment="1">
      <alignment horizontal="right"/>
    </xf>
    <xf numFmtId="49" fontId="3" fillId="3" borderId="20" xfId="0" applyNumberFormat="1" applyFont="1" applyFill="1" applyBorder="1" applyAlignment="1">
      <alignment horizontal="right"/>
    </xf>
    <xf numFmtId="0" fontId="3" fillId="3" borderId="20" xfId="0" quotePrefix="1" applyFont="1" applyFill="1" applyBorder="1" applyAlignment="1">
      <alignment horizontal="right" wrapText="1"/>
    </xf>
    <xf numFmtId="0" fontId="10" fillId="3" borderId="20" xfId="0" quotePrefix="1" applyFont="1" applyFill="1" applyBorder="1" applyAlignment="1">
      <alignment horizontal="right"/>
    </xf>
    <xf numFmtId="0" fontId="4" fillId="3" borderId="20" xfId="0" quotePrefix="1" applyFont="1" applyFill="1" applyBorder="1" applyAlignment="1">
      <alignment horizontal="right"/>
    </xf>
    <xf numFmtId="0" fontId="9" fillId="3" borderId="20" xfId="0" quotePrefix="1" applyFont="1" applyFill="1" applyBorder="1" applyAlignment="1">
      <alignment horizontal="right"/>
    </xf>
    <xf numFmtId="0" fontId="3" fillId="3" borderId="14" xfId="0" quotePrefix="1" applyFont="1" applyFill="1" applyBorder="1" applyAlignment="1">
      <alignment horizontal="right"/>
    </xf>
    <xf numFmtId="0" fontId="3" fillId="3" borderId="14" xfId="0" quotePrefix="1" applyFont="1" applyFill="1" applyBorder="1" applyAlignment="1">
      <alignment horizontal="right" wrapText="1"/>
    </xf>
    <xf numFmtId="49" fontId="3" fillId="3" borderId="14" xfId="0" applyNumberFormat="1" applyFont="1" applyFill="1" applyBorder="1" applyAlignment="1">
      <alignment horizontal="right"/>
    </xf>
    <xf numFmtId="0" fontId="3" fillId="2" borderId="14" xfId="0" quotePrefix="1" applyFont="1" applyFill="1" applyBorder="1" applyAlignment="1">
      <alignment horizontal="right"/>
    </xf>
    <xf numFmtId="0" fontId="3" fillId="3" borderId="14" xfId="0" applyFont="1" applyFill="1" applyBorder="1" applyAlignment="1">
      <alignment horizontal="right"/>
    </xf>
    <xf numFmtId="164" fontId="0" fillId="6" borderId="0" xfId="0" applyNumberFormat="1" applyFill="1" applyAlignment="1">
      <alignment vertical="center"/>
    </xf>
    <xf numFmtId="0" fontId="0" fillId="6" borderId="0" xfId="0" applyFill="1" applyAlignment="1">
      <alignment vertical="center"/>
    </xf>
    <xf numFmtId="0" fontId="3" fillId="0" borderId="20" xfId="0" quotePrefix="1" applyFont="1" applyBorder="1" applyAlignment="1">
      <alignment horizontal="right"/>
    </xf>
    <xf numFmtId="0" fontId="3" fillId="0" borderId="14" xfId="0" quotePrefix="1" applyFont="1" applyBorder="1" applyAlignment="1">
      <alignment horizontal="right"/>
    </xf>
    <xf numFmtId="165" fontId="20" fillId="3" borderId="0" xfId="0" applyNumberFormat="1" applyFont="1" applyFill="1" applyAlignment="1">
      <alignment horizontal="center" vertical="center" wrapText="1"/>
    </xf>
    <xf numFmtId="164" fontId="20" fillId="3" borderId="0" xfId="0" applyNumberFormat="1" applyFont="1" applyFill="1" applyAlignment="1">
      <alignment horizontal="right"/>
    </xf>
    <xf numFmtId="164" fontId="19" fillId="3" borderId="0" xfId="0" applyNumberFormat="1" applyFont="1" applyFill="1"/>
    <xf numFmtId="0" fontId="9" fillId="3" borderId="0" xfId="0" quotePrefix="1" applyFont="1" applyFill="1" applyAlignment="1">
      <alignment horizontal="right" vertical="center"/>
    </xf>
    <xf numFmtId="0" fontId="3" fillId="3" borderId="0" xfId="0" quotePrefix="1" applyFont="1" applyFill="1" applyAlignment="1">
      <alignment horizontal="right" vertical="center"/>
    </xf>
    <xf numFmtId="0" fontId="3" fillId="3" borderId="0" xfId="0" applyFont="1" applyFill="1" applyAlignment="1">
      <alignment horizontal="right" vertical="center"/>
    </xf>
    <xf numFmtId="164" fontId="19" fillId="3" borderId="0" xfId="0" applyNumberFormat="1" applyFont="1" applyFill="1" applyAlignment="1">
      <alignment horizontal="right" vertical="center"/>
    </xf>
    <xf numFmtId="0" fontId="11" fillId="3" borderId="0" xfId="0" applyFont="1" applyFill="1" applyAlignment="1">
      <alignment horizontal="right"/>
    </xf>
    <xf numFmtId="0" fontId="13" fillId="2" borderId="20" xfId="0" quotePrefix="1" applyFont="1" applyFill="1" applyBorder="1" applyAlignment="1">
      <alignment horizontal="center" vertical="center"/>
    </xf>
    <xf numFmtId="0" fontId="26" fillId="2" borderId="14" xfId="0" quotePrefix="1" applyFont="1" applyFill="1" applyBorder="1" applyAlignment="1">
      <alignment horizontal="center" vertical="center"/>
    </xf>
    <xf numFmtId="0" fontId="26" fillId="2" borderId="20" xfId="0" quotePrefix="1" applyFont="1" applyFill="1" applyBorder="1" applyAlignment="1">
      <alignment horizontal="center" vertical="center"/>
    </xf>
    <xf numFmtId="0" fontId="13" fillId="2" borderId="14" xfId="0" quotePrefix="1" applyFont="1" applyFill="1" applyBorder="1" applyAlignment="1">
      <alignment horizontal="center" vertical="center"/>
    </xf>
    <xf numFmtId="0" fontId="30" fillId="3" borderId="14" xfId="0" quotePrefix="1" applyFont="1" applyFill="1" applyBorder="1" applyAlignment="1">
      <alignment horizontal="center" vertical="center"/>
    </xf>
    <xf numFmtId="0" fontId="30" fillId="3" borderId="20" xfId="0" quotePrefix="1" applyFont="1" applyFill="1" applyBorder="1" applyAlignment="1">
      <alignment horizontal="center" vertical="center"/>
    </xf>
    <xf numFmtId="0" fontId="26" fillId="3" borderId="14" xfId="0" quotePrefix="1" applyFont="1" applyFill="1" applyBorder="1" applyAlignment="1">
      <alignment horizontal="center" vertical="center"/>
    </xf>
    <xf numFmtId="0" fontId="26" fillId="3" borderId="20" xfId="0" quotePrefix="1" applyFont="1" applyFill="1" applyBorder="1" applyAlignment="1">
      <alignment horizontal="center" vertical="center"/>
    </xf>
    <xf numFmtId="0" fontId="13" fillId="3" borderId="14" xfId="0" quotePrefix="1" applyFont="1" applyFill="1" applyBorder="1" applyAlignment="1">
      <alignment horizontal="center"/>
    </xf>
    <xf numFmtId="0" fontId="26" fillId="3" borderId="20" xfId="0" quotePrefix="1" applyFont="1" applyFill="1" applyBorder="1" applyAlignment="1">
      <alignment horizontal="center"/>
    </xf>
    <xf numFmtId="0" fontId="13" fillId="2" borderId="20" xfId="0" applyFont="1" applyFill="1" applyBorder="1" applyAlignment="1">
      <alignment horizontal="center" vertical="center"/>
    </xf>
    <xf numFmtId="0" fontId="26" fillId="2" borderId="14" xfId="0" applyFont="1" applyFill="1" applyBorder="1" applyAlignment="1">
      <alignment horizontal="center" vertical="center"/>
    </xf>
    <xf numFmtId="0" fontId="25" fillId="2" borderId="14" xfId="0" quotePrefix="1" applyFont="1" applyFill="1" applyBorder="1" applyAlignment="1">
      <alignment horizontal="center" vertical="center"/>
    </xf>
    <xf numFmtId="164" fontId="15" fillId="2" borderId="6" xfId="0" applyNumberFormat="1" applyFont="1" applyFill="1" applyBorder="1" applyAlignment="1">
      <alignment horizontal="right" vertical="center"/>
    </xf>
    <xf numFmtId="164" fontId="27" fillId="2" borderId="6" xfId="0" applyNumberFormat="1" applyFont="1" applyFill="1" applyBorder="1" applyAlignment="1">
      <alignment horizontal="right" vertical="center"/>
    </xf>
    <xf numFmtId="164" fontId="27" fillId="3" borderId="6" xfId="0" applyNumberFormat="1" applyFont="1" applyFill="1" applyBorder="1" applyAlignment="1">
      <alignment horizontal="right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1" fontId="12" fillId="2" borderId="7" xfId="0" applyNumberFormat="1" applyFont="1" applyFill="1" applyBorder="1" applyAlignment="1">
      <alignment horizontal="center" vertical="center"/>
    </xf>
    <xf numFmtId="0" fontId="30" fillId="2" borderId="28" xfId="0" quotePrefix="1" applyFont="1" applyFill="1" applyBorder="1" applyAlignment="1">
      <alignment horizontal="center" vertical="center"/>
    </xf>
    <xf numFmtId="0" fontId="26" fillId="2" borderId="29" xfId="0" quotePrefix="1" applyFont="1" applyFill="1" applyBorder="1" applyAlignment="1">
      <alignment horizontal="center" vertical="center"/>
    </xf>
    <xf numFmtId="0" fontId="26" fillId="2" borderId="16" xfId="0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center" vertical="center"/>
    </xf>
    <xf numFmtId="164" fontId="15" fillId="2" borderId="7" xfId="0" applyNumberFormat="1" applyFont="1" applyFill="1" applyBorder="1" applyAlignment="1">
      <alignment horizontal="right" vertical="center"/>
    </xf>
    <xf numFmtId="164" fontId="27" fillId="0" borderId="6" xfId="0" applyNumberFormat="1" applyFont="1" applyBorder="1" applyAlignment="1">
      <alignment vertical="center"/>
    </xf>
    <xf numFmtId="164" fontId="27" fillId="0" borderId="13" xfId="0" applyNumberFormat="1" applyFont="1" applyBorder="1" applyAlignment="1">
      <alignment vertical="center"/>
    </xf>
    <xf numFmtId="3" fontId="12" fillId="0" borderId="7" xfId="0" applyNumberFormat="1" applyFont="1" applyBorder="1" applyAlignment="1">
      <alignment horizontal="center" vertical="center"/>
    </xf>
    <xf numFmtId="164" fontId="15" fillId="2" borderId="1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left" wrapText="1"/>
    </xf>
    <xf numFmtId="49" fontId="10" fillId="3" borderId="6" xfId="0" applyNumberFormat="1" applyFont="1" applyFill="1" applyBorder="1" applyAlignment="1" applyProtection="1">
      <alignment wrapText="1"/>
      <protection locked="0" hidden="1"/>
    </xf>
    <xf numFmtId="0" fontId="10" fillId="3" borderId="6" xfId="0" applyFont="1" applyFill="1" applyBorder="1" applyAlignment="1" applyProtection="1">
      <alignment wrapText="1"/>
      <protection locked="0" hidden="1"/>
    </xf>
    <xf numFmtId="0" fontId="10" fillId="3" borderId="6" xfId="0" applyFont="1" applyFill="1" applyBorder="1" applyAlignment="1" applyProtection="1">
      <alignment horizontal="left" wrapText="1"/>
      <protection locked="0" hidden="1"/>
    </xf>
    <xf numFmtId="49" fontId="10" fillId="3" borderId="6" xfId="0" applyNumberFormat="1" applyFont="1" applyFill="1" applyBorder="1" applyAlignment="1" applyProtection="1">
      <alignment horizontal="left" wrapText="1"/>
      <protection locked="0" hidden="1"/>
    </xf>
    <xf numFmtId="0" fontId="12" fillId="3" borderId="32" xfId="0" applyFont="1" applyFill="1" applyBorder="1" applyAlignment="1">
      <alignment horizontal="center" vertical="center"/>
    </xf>
    <xf numFmtId="0" fontId="40" fillId="3" borderId="33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/>
    </xf>
    <xf numFmtId="165" fontId="44" fillId="3" borderId="0" xfId="0" applyNumberFormat="1" applyFont="1" applyFill="1"/>
    <xf numFmtId="165" fontId="44" fillId="3" borderId="0" xfId="0" applyNumberFormat="1" applyFont="1" applyFill="1" applyAlignment="1">
      <alignment horizontal="left"/>
    </xf>
    <xf numFmtId="0" fontId="44" fillId="3" borderId="0" xfId="0" applyFont="1" applyFill="1"/>
    <xf numFmtId="164" fontId="44" fillId="3" borderId="0" xfId="0" applyNumberFormat="1" applyFont="1" applyFill="1" applyAlignment="1">
      <alignment horizontal="right"/>
    </xf>
    <xf numFmtId="164" fontId="10" fillId="6" borderId="0" xfId="0" applyNumberFormat="1" applyFont="1" applyFill="1"/>
    <xf numFmtId="0" fontId="45" fillId="0" borderId="0" xfId="0" applyFont="1"/>
    <xf numFmtId="164" fontId="10" fillId="3" borderId="9" xfId="0" applyNumberFormat="1" applyFont="1" applyFill="1" applyBorder="1" applyAlignment="1">
      <alignment horizontal="right"/>
    </xf>
    <xf numFmtId="49" fontId="10" fillId="3" borderId="6" xfId="0" applyNumberFormat="1" applyFont="1" applyFill="1" applyBorder="1" applyAlignment="1" applyProtection="1">
      <alignment vertical="center" wrapText="1"/>
      <protection locked="0" hidden="1"/>
    </xf>
    <xf numFmtId="0" fontId="10" fillId="3" borderId="6" xfId="0" applyFont="1" applyFill="1" applyBorder="1" applyAlignment="1" applyProtection="1">
      <alignment vertical="center" wrapText="1"/>
      <protection locked="0" hidden="1"/>
    </xf>
    <xf numFmtId="0" fontId="10" fillId="3" borderId="6" xfId="0" applyFont="1" applyFill="1" applyBorder="1" applyAlignment="1">
      <alignment horizontal="left" vertical="center" wrapText="1"/>
    </xf>
    <xf numFmtId="49" fontId="10" fillId="3" borderId="6" xfId="0" applyNumberFormat="1" applyFont="1" applyFill="1" applyBorder="1" applyAlignment="1" applyProtection="1">
      <alignment horizontal="left" vertical="center" wrapText="1"/>
      <protection locked="0" hidden="1"/>
    </xf>
    <xf numFmtId="0" fontId="10" fillId="3" borderId="6" xfId="0" applyFont="1" applyFill="1" applyBorder="1" applyAlignment="1" applyProtection="1">
      <alignment horizontal="left" vertical="center" wrapText="1"/>
      <protection locked="0" hidden="1"/>
    </xf>
    <xf numFmtId="49" fontId="9" fillId="3" borderId="6" xfId="0" applyNumberFormat="1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/>
    </xf>
    <xf numFmtId="49" fontId="10" fillId="3" borderId="6" xfId="0" applyNumberFormat="1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right"/>
    </xf>
    <xf numFmtId="0" fontId="9" fillId="3" borderId="6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right"/>
    </xf>
    <xf numFmtId="0" fontId="27" fillId="3" borderId="12" xfId="0" applyFont="1" applyFill="1" applyBorder="1" applyAlignment="1">
      <alignment horizontal="left" wrapText="1"/>
    </xf>
    <xf numFmtId="164" fontId="10" fillId="0" borderId="0" xfId="0" applyNumberFormat="1" applyFont="1"/>
    <xf numFmtId="0" fontId="3" fillId="6" borderId="0" xfId="0" applyFont="1" applyFill="1" applyAlignment="1">
      <alignment wrapText="1"/>
    </xf>
    <xf numFmtId="0" fontId="9" fillId="6" borderId="0" xfId="0" quotePrefix="1" applyFont="1" applyFill="1" applyAlignment="1">
      <alignment horizontal="right"/>
    </xf>
    <xf numFmtId="0" fontId="3" fillId="6" borderId="0" xfId="0" quotePrefix="1" applyFont="1" applyFill="1" applyAlignment="1">
      <alignment horizontal="right"/>
    </xf>
    <xf numFmtId="0" fontId="3" fillId="6" borderId="0" xfId="0" applyFont="1" applyFill="1" applyAlignment="1">
      <alignment horizontal="right"/>
    </xf>
    <xf numFmtId="49" fontId="3" fillId="6" borderId="0" xfId="0" applyNumberFormat="1" applyFont="1" applyFill="1" applyAlignment="1">
      <alignment horizontal="right"/>
    </xf>
    <xf numFmtId="0" fontId="5" fillId="6" borderId="0" xfId="0" applyFont="1" applyFill="1"/>
    <xf numFmtId="0" fontId="3" fillId="6" borderId="0" xfId="0" applyFont="1" applyFill="1"/>
    <xf numFmtId="0" fontId="10" fillId="6" borderId="0" xfId="0" applyFont="1" applyFill="1"/>
    <xf numFmtId="164" fontId="5" fillId="6" borderId="0" xfId="0" applyNumberFormat="1" applyFont="1" applyFill="1"/>
    <xf numFmtId="165" fontId="19" fillId="6" borderId="0" xfId="0" applyNumberFormat="1" applyFont="1" applyFill="1"/>
    <xf numFmtId="164" fontId="19" fillId="6" borderId="0" xfId="0" applyNumberFormat="1" applyFont="1" applyFill="1" applyAlignment="1">
      <alignment horizontal="right"/>
    </xf>
    <xf numFmtId="164" fontId="18" fillId="6" borderId="0" xfId="0" applyNumberFormat="1" applyFont="1" applyFill="1" applyAlignment="1">
      <alignment horizontal="center"/>
    </xf>
    <xf numFmtId="0" fontId="0" fillId="3" borderId="6" xfId="0" applyFill="1" applyBorder="1"/>
    <xf numFmtId="49" fontId="10" fillId="3" borderId="6" xfId="0" applyNumberFormat="1" applyFont="1" applyFill="1" applyBorder="1" applyAlignment="1">
      <alignment horizontal="center" wrapText="1"/>
    </xf>
    <xf numFmtId="0" fontId="10" fillId="0" borderId="6" xfId="0" applyFont="1" applyBorder="1" applyAlignment="1">
      <alignment horizontal="left" wrapText="1"/>
    </xf>
    <xf numFmtId="0" fontId="3" fillId="2" borderId="20" xfId="0" quotePrefix="1" applyFont="1" applyFill="1" applyBorder="1" applyAlignment="1">
      <alignment horizontal="right"/>
    </xf>
    <xf numFmtId="0" fontId="40" fillId="3" borderId="35" xfId="0" applyFont="1" applyFill="1" applyBorder="1" applyAlignment="1">
      <alignment horizontal="center" vertical="center"/>
    </xf>
    <xf numFmtId="0" fontId="40" fillId="3" borderId="10" xfId="0" applyFont="1" applyFill="1" applyBorder="1" applyAlignment="1">
      <alignment horizontal="center" vertical="center"/>
    </xf>
    <xf numFmtId="0" fontId="3" fillId="3" borderId="6" xfId="0" quotePrefix="1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3" xfId="0" quotePrefix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right"/>
    </xf>
    <xf numFmtId="0" fontId="13" fillId="2" borderId="11" xfId="0" applyFont="1" applyFill="1" applyBorder="1" applyAlignment="1">
      <alignment horizontal="left" vertical="center" wrapText="1"/>
    </xf>
    <xf numFmtId="0" fontId="26" fillId="2" borderId="12" xfId="0" applyFont="1" applyFill="1" applyBorder="1" applyAlignment="1">
      <alignment horizontal="left" vertical="center" wrapText="1"/>
    </xf>
    <xf numFmtId="0" fontId="13" fillId="2" borderId="12" xfId="0" applyFont="1" applyFill="1" applyBorder="1" applyAlignment="1">
      <alignment horizontal="left" vertical="center" wrapText="1"/>
    </xf>
    <xf numFmtId="0" fontId="30" fillId="2" borderId="12" xfId="0" applyFont="1" applyFill="1" applyBorder="1" applyAlignment="1">
      <alignment horizontal="left" vertical="center" wrapText="1"/>
    </xf>
    <xf numFmtId="0" fontId="27" fillId="3" borderId="12" xfId="0" applyFont="1" applyFill="1" applyBorder="1" applyAlignment="1">
      <alignment horizontal="left" vertical="center" wrapText="1"/>
    </xf>
    <xf numFmtId="0" fontId="30" fillId="3" borderId="12" xfId="0" applyFont="1" applyFill="1" applyBorder="1" applyAlignment="1">
      <alignment horizontal="left" wrapText="1"/>
    </xf>
    <xf numFmtId="0" fontId="4" fillId="2" borderId="18" xfId="0" applyFont="1" applyFill="1" applyBorder="1" applyAlignment="1">
      <alignment horizontal="center" vertical="center"/>
    </xf>
    <xf numFmtId="0" fontId="15" fillId="3" borderId="12" xfId="0" applyFont="1" applyFill="1" applyBorder="1" applyAlignment="1">
      <alignment horizontal="left" vertical="top" wrapText="1"/>
    </xf>
    <xf numFmtId="0" fontId="13" fillId="2" borderId="4" xfId="0" applyFont="1" applyFill="1" applyBorder="1" applyAlignment="1">
      <alignment horizontal="left" vertical="center" wrapText="1"/>
    </xf>
    <xf numFmtId="0" fontId="26" fillId="2" borderId="22" xfId="0" applyFont="1" applyFill="1" applyBorder="1" applyAlignment="1">
      <alignment horizontal="left" vertical="center" wrapText="1"/>
    </xf>
    <xf numFmtId="0" fontId="13" fillId="2" borderId="18" xfId="0" applyFont="1" applyFill="1" applyBorder="1" applyAlignment="1">
      <alignment horizontal="left" vertical="center" wrapText="1"/>
    </xf>
    <xf numFmtId="164" fontId="15" fillId="2" borderId="30" xfId="0" applyNumberFormat="1" applyFont="1" applyFill="1" applyBorder="1" applyAlignment="1">
      <alignment horizontal="right" vertical="center"/>
    </xf>
    <xf numFmtId="164" fontId="27" fillId="2" borderId="21" xfId="0" applyNumberFormat="1" applyFont="1" applyFill="1" applyBorder="1" applyAlignment="1">
      <alignment horizontal="right" vertical="center"/>
    </xf>
    <xf numFmtId="164" fontId="15" fillId="2" borderId="21" xfId="0" applyNumberFormat="1" applyFont="1" applyFill="1" applyBorder="1" applyAlignment="1">
      <alignment horizontal="right" vertical="center"/>
    </xf>
    <xf numFmtId="3" fontId="12" fillId="0" borderId="23" xfId="0" applyNumberFormat="1" applyFont="1" applyBorder="1" applyAlignment="1">
      <alignment horizontal="center" vertical="center"/>
    </xf>
    <xf numFmtId="164" fontId="15" fillId="2" borderId="2" xfId="0" applyNumberFormat="1" applyFont="1" applyFill="1" applyBorder="1" applyAlignment="1">
      <alignment horizontal="right" vertical="center"/>
    </xf>
    <xf numFmtId="164" fontId="27" fillId="3" borderId="21" xfId="0" applyNumberFormat="1" applyFont="1" applyFill="1" applyBorder="1" applyAlignment="1">
      <alignment horizontal="right" vertical="center"/>
    </xf>
    <xf numFmtId="164" fontId="27" fillId="2" borderId="31" xfId="0" applyNumberFormat="1" applyFont="1" applyFill="1" applyBorder="1" applyAlignment="1">
      <alignment horizontal="right" vertical="center"/>
    </xf>
    <xf numFmtId="0" fontId="25" fillId="2" borderId="26" xfId="0" applyFont="1" applyFill="1" applyBorder="1" applyAlignment="1">
      <alignment horizontal="center" vertical="center" wrapText="1"/>
    </xf>
    <xf numFmtId="0" fontId="13" fillId="2" borderId="27" xfId="0" quotePrefix="1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wrapText="1"/>
    </xf>
    <xf numFmtId="49" fontId="10" fillId="3" borderId="6" xfId="0" applyNumberFormat="1" applyFont="1" applyFill="1" applyBorder="1" applyAlignment="1">
      <alignment wrapText="1"/>
    </xf>
    <xf numFmtId="0" fontId="10" fillId="3" borderId="8" xfId="0" applyFont="1" applyFill="1" applyBorder="1" applyAlignment="1">
      <alignment horizontal="left" wrapText="1"/>
    </xf>
    <xf numFmtId="0" fontId="10" fillId="3" borderId="6" xfId="0" applyFont="1" applyFill="1" applyBorder="1" applyAlignment="1">
      <alignment horizontal="left" wrapText="1"/>
    </xf>
    <xf numFmtId="0" fontId="10" fillId="2" borderId="6" xfId="0" applyFont="1" applyFill="1" applyBorder="1" applyAlignment="1">
      <alignment horizontal="left" wrapText="1"/>
    </xf>
    <xf numFmtId="0" fontId="10" fillId="4" borderId="6" xfId="0" applyFont="1" applyFill="1" applyBorder="1" applyAlignment="1">
      <alignment wrapText="1"/>
    </xf>
    <xf numFmtId="0" fontId="12" fillId="3" borderId="7" xfId="0" applyFont="1" applyFill="1" applyBorder="1" applyAlignment="1">
      <alignment wrapText="1"/>
    </xf>
    <xf numFmtId="0" fontId="10" fillId="3" borderId="6" xfId="0" applyFont="1" applyFill="1" applyBorder="1" applyAlignment="1">
      <alignment vertical="center" wrapText="1"/>
    </xf>
    <xf numFmtId="49" fontId="12" fillId="3" borderId="8" xfId="0" applyNumberFormat="1" applyFont="1" applyFill="1" applyBorder="1" applyAlignment="1" applyProtection="1">
      <alignment vertical="center" wrapText="1"/>
      <protection locked="0" hidden="1"/>
    </xf>
    <xf numFmtId="0" fontId="3" fillId="3" borderId="6" xfId="0" applyFont="1" applyFill="1" applyBorder="1" applyAlignment="1">
      <alignment vertical="center" wrapText="1"/>
    </xf>
    <xf numFmtId="49" fontId="12" fillId="3" borderId="6" xfId="0" applyNumberFormat="1" applyFont="1" applyFill="1" applyBorder="1" applyAlignment="1" applyProtection="1">
      <alignment horizontal="left" vertical="center" wrapText="1"/>
      <protection locked="0" hidden="1"/>
    </xf>
    <xf numFmtId="49" fontId="12" fillId="3" borderId="6" xfId="0" applyNumberFormat="1" applyFont="1" applyFill="1" applyBorder="1" applyAlignment="1" applyProtection="1">
      <alignment vertical="center" wrapText="1"/>
      <protection locked="0" hidden="1"/>
    </xf>
    <xf numFmtId="0" fontId="12" fillId="3" borderId="6" xfId="0" applyFont="1" applyFill="1" applyBorder="1" applyAlignment="1">
      <alignment horizontal="left" vertical="center" wrapText="1"/>
    </xf>
    <xf numFmtId="0" fontId="10" fillId="3" borderId="13" xfId="0" applyFont="1" applyFill="1" applyBorder="1" applyAlignment="1">
      <alignment horizontal="left" vertical="center" wrapText="1"/>
    </xf>
    <xf numFmtId="0" fontId="10" fillId="3" borderId="36" xfId="0" applyFont="1" applyFill="1" applyBorder="1" applyAlignment="1">
      <alignment horizontal="left" vertical="center" wrapText="1"/>
    </xf>
    <xf numFmtId="0" fontId="17" fillId="3" borderId="6" xfId="0" applyFont="1" applyFill="1" applyBorder="1" applyAlignment="1">
      <alignment vertical="center" wrapText="1"/>
    </xf>
    <xf numFmtId="0" fontId="10" fillId="3" borderId="9" xfId="0" applyFont="1" applyFill="1" applyBorder="1" applyAlignment="1">
      <alignment vertical="center"/>
    </xf>
    <xf numFmtId="0" fontId="12" fillId="3" borderId="7" xfId="0" applyFont="1" applyFill="1" applyBorder="1" applyAlignment="1">
      <alignment vertical="center"/>
    </xf>
    <xf numFmtId="0" fontId="43" fillId="3" borderId="9" xfId="0" applyFont="1" applyFill="1" applyBorder="1" applyAlignment="1">
      <alignment wrapText="1"/>
    </xf>
    <xf numFmtId="0" fontId="3" fillId="3" borderId="21" xfId="0" applyFont="1" applyFill="1" applyBorder="1" applyAlignment="1">
      <alignment horizontal="right"/>
    </xf>
    <xf numFmtId="49" fontId="10" fillId="3" borderId="1" xfId="0" applyNumberFormat="1" applyFont="1" applyFill="1" applyBorder="1" applyAlignment="1" applyProtection="1">
      <alignment horizontal="center" wrapText="1"/>
      <protection locked="0" hidden="1"/>
    </xf>
    <xf numFmtId="0" fontId="30" fillId="3" borderId="1" xfId="0" quotePrefix="1" applyFont="1" applyFill="1" applyBorder="1" applyAlignment="1">
      <alignment horizontal="center" vertical="center"/>
    </xf>
    <xf numFmtId="0" fontId="26" fillId="3" borderId="1" xfId="0" quotePrefix="1" applyFont="1" applyFill="1" applyBorder="1" applyAlignment="1">
      <alignment horizontal="center" vertical="center"/>
    </xf>
    <xf numFmtId="0" fontId="27" fillId="3" borderId="6" xfId="0" applyFont="1" applyFill="1" applyBorder="1" applyAlignment="1">
      <alignment horizontal="left" vertical="center" wrapText="1"/>
    </xf>
    <xf numFmtId="164" fontId="27" fillId="2" borderId="1" xfId="0" applyNumberFormat="1" applyFont="1" applyFill="1" applyBorder="1" applyAlignment="1">
      <alignment horizontal="right" vertical="center"/>
    </xf>
    <xf numFmtId="0" fontId="10" fillId="3" borderId="12" xfId="0" applyFont="1" applyFill="1" applyBorder="1" applyAlignment="1" applyProtection="1">
      <alignment wrapText="1"/>
      <protection locked="0" hidden="1"/>
    </xf>
    <xf numFmtId="0" fontId="3" fillId="3" borderId="20" xfId="0" applyFont="1" applyFill="1" applyBorder="1"/>
    <xf numFmtId="0" fontId="10" fillId="3" borderId="12" xfId="0" applyFont="1" applyFill="1" applyBorder="1" applyAlignment="1">
      <alignment wrapText="1"/>
    </xf>
    <xf numFmtId="0" fontId="43" fillId="0" borderId="0" xfId="0" applyFont="1" applyAlignment="1">
      <alignment wrapText="1"/>
    </xf>
    <xf numFmtId="164" fontId="3" fillId="3" borderId="8" xfId="0" quotePrefix="1" applyNumberFormat="1" applyFont="1" applyFill="1" applyBorder="1" applyAlignment="1">
      <alignment horizontal="right" wrapText="1"/>
    </xf>
    <xf numFmtId="164" fontId="3" fillId="3" borderId="6" xfId="0" quotePrefix="1" applyNumberFormat="1" applyFont="1" applyFill="1" applyBorder="1" applyAlignment="1">
      <alignment horizontal="right" wrapText="1"/>
    </xf>
    <xf numFmtId="0" fontId="27" fillId="3" borderId="0" xfId="0" applyFont="1" applyFill="1" applyAlignment="1">
      <alignment horizontal="right"/>
    </xf>
    <xf numFmtId="0" fontId="3" fillId="3" borderId="21" xfId="0" quotePrefix="1" applyFont="1" applyFill="1" applyBorder="1" applyAlignment="1">
      <alignment horizontal="right"/>
    </xf>
    <xf numFmtId="49" fontId="3" fillId="3" borderId="21" xfId="0" applyNumberFormat="1" applyFont="1" applyFill="1" applyBorder="1" applyAlignment="1">
      <alignment horizontal="right"/>
    </xf>
    <xf numFmtId="0" fontId="0" fillId="3" borderId="21" xfId="0" applyFill="1" applyBorder="1"/>
    <xf numFmtId="165" fontId="3" fillId="3" borderId="3" xfId="0" quotePrefix="1" applyNumberFormat="1" applyFont="1" applyFill="1" applyBorder="1" applyAlignment="1">
      <alignment horizontal="right"/>
    </xf>
    <xf numFmtId="164" fontId="12" fillId="3" borderId="8" xfId="0" applyNumberFormat="1" applyFont="1" applyFill="1" applyBorder="1" applyAlignment="1">
      <alignment horizontal="right"/>
    </xf>
    <xf numFmtId="0" fontId="11" fillId="3" borderId="0" xfId="0" applyFont="1" applyFill="1" applyAlignment="1">
      <alignment horizontal="right" wrapText="1"/>
    </xf>
    <xf numFmtId="0" fontId="11" fillId="0" borderId="0" xfId="0" applyFont="1"/>
    <xf numFmtId="0" fontId="48" fillId="3" borderId="14" xfId="0" quotePrefix="1" applyFont="1" applyFill="1" applyBorder="1" applyAlignment="1">
      <alignment horizontal="right"/>
    </xf>
    <xf numFmtId="0" fontId="48" fillId="3" borderId="1" xfId="0" applyFont="1" applyFill="1" applyBorder="1" applyAlignment="1">
      <alignment horizontal="right" wrapText="1"/>
    </xf>
    <xf numFmtId="0" fontId="51" fillId="3" borderId="20" xfId="0" quotePrefix="1" applyFont="1" applyFill="1" applyBorder="1" applyAlignment="1">
      <alignment horizontal="right"/>
    </xf>
    <xf numFmtId="0" fontId="52" fillId="3" borderId="6" xfId="0" applyFont="1" applyFill="1" applyBorder="1" applyAlignment="1">
      <alignment horizontal="left" wrapText="1"/>
    </xf>
    <xf numFmtId="0" fontId="53" fillId="3" borderId="14" xfId="0" quotePrefix="1" applyFont="1" applyFill="1" applyBorder="1" applyAlignment="1">
      <alignment horizontal="right"/>
    </xf>
    <xf numFmtId="0" fontId="54" fillId="3" borderId="1" xfId="0" quotePrefix="1" applyFont="1" applyFill="1" applyBorder="1" applyAlignment="1">
      <alignment horizontal="right"/>
    </xf>
    <xf numFmtId="0" fontId="54" fillId="3" borderId="20" xfId="0" quotePrefix="1" applyFont="1" applyFill="1" applyBorder="1" applyAlignment="1">
      <alignment horizontal="right"/>
    </xf>
    <xf numFmtId="0" fontId="54" fillId="3" borderId="21" xfId="0" applyFont="1" applyFill="1" applyBorder="1" applyAlignment="1">
      <alignment horizontal="right"/>
    </xf>
    <xf numFmtId="49" fontId="52" fillId="3" borderId="6" xfId="0" applyNumberFormat="1" applyFont="1" applyFill="1" applyBorder="1" applyAlignment="1" applyProtection="1">
      <alignment horizontal="left" wrapText="1"/>
      <protection locked="0" hidden="1"/>
    </xf>
    <xf numFmtId="49" fontId="52" fillId="3" borderId="21" xfId="0" applyNumberFormat="1" applyFont="1" applyFill="1" applyBorder="1" applyAlignment="1" applyProtection="1">
      <alignment horizontal="center" wrapText="1"/>
      <protection locked="0" hidden="1"/>
    </xf>
    <xf numFmtId="49" fontId="52" fillId="3" borderId="6" xfId="0" applyNumberFormat="1" applyFont="1" applyFill="1" applyBorder="1" applyAlignment="1" applyProtection="1">
      <alignment wrapText="1"/>
      <protection locked="0" hidden="1"/>
    </xf>
    <xf numFmtId="0" fontId="54" fillId="3" borderId="21" xfId="0" quotePrefix="1" applyFont="1" applyFill="1" applyBorder="1" applyAlignment="1">
      <alignment horizontal="right"/>
    </xf>
    <xf numFmtId="0" fontId="52" fillId="3" borderId="14" xfId="0" quotePrefix="1" applyFont="1" applyFill="1" applyBorder="1" applyAlignment="1">
      <alignment horizontal="right"/>
    </xf>
    <xf numFmtId="0" fontId="52" fillId="3" borderId="1" xfId="0" quotePrefix="1" applyFont="1" applyFill="1" applyBorder="1" applyAlignment="1">
      <alignment horizontal="right"/>
    </xf>
    <xf numFmtId="0" fontId="52" fillId="3" borderId="20" xfId="0" quotePrefix="1" applyFont="1" applyFill="1" applyBorder="1" applyAlignment="1">
      <alignment horizontal="right"/>
    </xf>
    <xf numFmtId="49" fontId="52" fillId="3" borderId="21" xfId="0" applyNumberFormat="1" applyFont="1" applyFill="1" applyBorder="1" applyAlignment="1">
      <alignment horizontal="center"/>
    </xf>
    <xf numFmtId="0" fontId="52" fillId="3" borderId="6" xfId="0" applyFont="1" applyFill="1" applyBorder="1" applyAlignment="1" applyProtection="1">
      <alignment horizontal="left" wrapText="1"/>
      <protection locked="0" hidden="1"/>
    </xf>
    <xf numFmtId="0" fontId="53" fillId="3" borderId="14" xfId="0" quotePrefix="1" applyFont="1" applyFill="1" applyBorder="1" applyAlignment="1">
      <alignment horizontal="right" wrapText="1"/>
    </xf>
    <xf numFmtId="49" fontId="54" fillId="3" borderId="21" xfId="0" applyNumberFormat="1" applyFont="1" applyFill="1" applyBorder="1" applyAlignment="1">
      <alignment horizontal="right"/>
    </xf>
    <xf numFmtId="0" fontId="54" fillId="3" borderId="1" xfId="0" quotePrefix="1" applyFont="1" applyFill="1" applyBorder="1" applyAlignment="1">
      <alignment horizontal="right" wrapText="1"/>
    </xf>
    <xf numFmtId="0" fontId="54" fillId="3" borderId="20" xfId="0" quotePrefix="1" applyFont="1" applyFill="1" applyBorder="1" applyAlignment="1">
      <alignment horizontal="right" wrapText="1"/>
    </xf>
    <xf numFmtId="0" fontId="51" fillId="3" borderId="1" xfId="0" quotePrefix="1" applyFont="1" applyFill="1" applyBorder="1" applyAlignment="1">
      <alignment horizontal="right"/>
    </xf>
    <xf numFmtId="49" fontId="54" fillId="3" borderId="1" xfId="0" applyNumberFormat="1" applyFont="1" applyFill="1" applyBorder="1" applyAlignment="1">
      <alignment horizontal="right"/>
    </xf>
    <xf numFmtId="49" fontId="54" fillId="3" borderId="20" xfId="0" applyNumberFormat="1" applyFont="1" applyFill="1" applyBorder="1" applyAlignment="1">
      <alignment horizontal="right"/>
    </xf>
    <xf numFmtId="0" fontId="53" fillId="3" borderId="1" xfId="0" quotePrefix="1" applyFont="1" applyFill="1" applyBorder="1" applyAlignment="1">
      <alignment horizontal="right"/>
    </xf>
    <xf numFmtId="0" fontId="53" fillId="3" borderId="20" xfId="0" quotePrefix="1" applyFont="1" applyFill="1" applyBorder="1" applyAlignment="1">
      <alignment horizontal="right"/>
    </xf>
    <xf numFmtId="0" fontId="51" fillId="3" borderId="20" xfId="0" applyFont="1" applyFill="1" applyBorder="1" applyAlignment="1">
      <alignment horizontal="right"/>
    </xf>
    <xf numFmtId="0" fontId="54" fillId="3" borderId="1" xfId="0" applyFont="1" applyFill="1" applyBorder="1" applyAlignment="1">
      <alignment horizontal="right"/>
    </xf>
    <xf numFmtId="0" fontId="52" fillId="3" borderId="8" xfId="0" applyFont="1" applyFill="1" applyBorder="1" applyAlignment="1">
      <alignment horizontal="left" wrapText="1"/>
    </xf>
    <xf numFmtId="0" fontId="52" fillId="3" borderId="12" xfId="0" applyFont="1" applyFill="1" applyBorder="1" applyAlignment="1">
      <alignment horizontal="left" wrapText="1"/>
    </xf>
    <xf numFmtId="0" fontId="48" fillId="3" borderId="1" xfId="0" quotePrefix="1" applyFont="1" applyFill="1" applyBorder="1" applyAlignment="1">
      <alignment horizontal="right"/>
    </xf>
    <xf numFmtId="0" fontId="59" fillId="3" borderId="1" xfId="0" quotePrefix="1" applyFont="1" applyFill="1" applyBorder="1" applyAlignment="1">
      <alignment horizontal="right"/>
    </xf>
    <xf numFmtId="0" fontId="54" fillId="3" borderId="20" xfId="0" applyFont="1" applyFill="1" applyBorder="1" applyAlignment="1">
      <alignment horizontal="right"/>
    </xf>
    <xf numFmtId="0" fontId="58" fillId="3" borderId="20" xfId="0" applyFont="1" applyFill="1" applyBorder="1" applyAlignment="1">
      <alignment horizontal="right"/>
    </xf>
    <xf numFmtId="0" fontId="60" fillId="3" borderId="20" xfId="0" applyFont="1" applyFill="1" applyBorder="1" applyAlignment="1">
      <alignment horizontal="right"/>
    </xf>
    <xf numFmtId="0" fontId="58" fillId="3" borderId="1" xfId="0" applyFont="1" applyFill="1" applyBorder="1" applyAlignment="1">
      <alignment horizontal="right"/>
    </xf>
    <xf numFmtId="0" fontId="52" fillId="3" borderId="21" xfId="0" applyFont="1" applyFill="1" applyBorder="1" applyAlignment="1">
      <alignment horizontal="center"/>
    </xf>
    <xf numFmtId="164" fontId="12" fillId="3" borderId="16" xfId="0" applyNumberFormat="1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center"/>
    </xf>
    <xf numFmtId="0" fontId="10" fillId="3" borderId="12" xfId="0" applyFont="1" applyFill="1" applyBorder="1" applyAlignment="1">
      <alignment horizontal="left" wrapText="1"/>
    </xf>
    <xf numFmtId="0" fontId="3" fillId="3" borderId="20" xfId="0" quotePrefix="1" applyFont="1" applyFill="1" applyBorder="1" applyAlignment="1">
      <alignment horizontal="right"/>
    </xf>
    <xf numFmtId="164" fontId="19" fillId="3" borderId="6" xfId="0" applyNumberFormat="1" applyFont="1" applyFill="1" applyBorder="1" applyAlignment="1">
      <alignment horizontal="right"/>
    </xf>
    <xf numFmtId="164" fontId="19" fillId="3" borderId="3" xfId="0" applyNumberFormat="1" applyFont="1" applyFill="1" applyBorder="1" applyAlignment="1">
      <alignment horizontal="right"/>
    </xf>
    <xf numFmtId="0" fontId="3" fillId="3" borderId="6" xfId="0" quotePrefix="1" applyFont="1" applyFill="1" applyBorder="1" applyAlignment="1">
      <alignment horizontal="right"/>
    </xf>
    <xf numFmtId="164" fontId="12" fillId="3" borderId="17" xfId="0" applyNumberFormat="1" applyFont="1" applyFill="1" applyBorder="1" applyAlignment="1">
      <alignment horizontal="right" wrapText="1"/>
    </xf>
    <xf numFmtId="164" fontId="12" fillId="3" borderId="19" xfId="0" applyNumberFormat="1" applyFont="1" applyFill="1" applyBorder="1" applyAlignment="1">
      <alignment horizontal="right" wrapText="1"/>
    </xf>
    <xf numFmtId="0" fontId="17" fillId="3" borderId="1" xfId="0" quotePrefix="1" applyFont="1" applyFill="1" applyBorder="1" applyAlignment="1">
      <alignment horizontal="right"/>
    </xf>
    <xf numFmtId="49" fontId="4" fillId="3" borderId="21" xfId="0" applyNumberFormat="1" applyFont="1" applyFill="1" applyBorder="1" applyAlignment="1">
      <alignment horizontal="right"/>
    </xf>
    <xf numFmtId="164" fontId="27" fillId="2" borderId="2" xfId="0" applyNumberFormat="1" applyFont="1" applyFill="1" applyBorder="1" applyAlignment="1">
      <alignment horizontal="right" vertical="center"/>
    </xf>
    <xf numFmtId="0" fontId="27" fillId="3" borderId="6" xfId="0" applyFont="1" applyFill="1" applyBorder="1" applyAlignment="1">
      <alignment horizontal="left" wrapText="1"/>
    </xf>
    <xf numFmtId="0" fontId="30" fillId="3" borderId="1" xfId="0" quotePrefix="1" applyFont="1" applyFill="1" applyBorder="1" applyAlignment="1">
      <alignment horizontal="center"/>
    </xf>
    <xf numFmtId="0" fontId="30" fillId="3" borderId="20" xfId="0" quotePrefix="1" applyFont="1" applyFill="1" applyBorder="1" applyAlignment="1">
      <alignment horizontal="center"/>
    </xf>
    <xf numFmtId="0" fontId="49" fillId="3" borderId="1" xfId="0" applyFont="1" applyFill="1" applyBorder="1" applyAlignment="1">
      <alignment horizontal="right"/>
    </xf>
    <xf numFmtId="0" fontId="49" fillId="3" borderId="1" xfId="0" applyFont="1" applyFill="1" applyBorder="1" applyAlignment="1">
      <alignment horizontal="center"/>
    </xf>
    <xf numFmtId="0" fontId="51" fillId="3" borderId="1" xfId="0" applyFont="1" applyFill="1" applyBorder="1" applyAlignment="1">
      <alignment horizontal="center"/>
    </xf>
    <xf numFmtId="0" fontId="51" fillId="3" borderId="1" xfId="0" applyFont="1" applyFill="1" applyBorder="1" applyAlignment="1">
      <alignment horizontal="right"/>
    </xf>
    <xf numFmtId="0" fontId="54" fillId="3" borderId="1" xfId="0" applyFont="1" applyFill="1" applyBorder="1" applyAlignment="1">
      <alignment horizontal="center"/>
    </xf>
    <xf numFmtId="49" fontId="52" fillId="3" borderId="1" xfId="0" applyNumberFormat="1" applyFont="1" applyFill="1" applyBorder="1" applyAlignment="1" applyProtection="1">
      <alignment horizontal="center" wrapText="1"/>
      <protection locked="0" hidden="1"/>
    </xf>
    <xf numFmtId="49" fontId="52" fillId="3" borderId="1" xfId="0" applyNumberFormat="1" applyFont="1" applyFill="1" applyBorder="1" applyAlignment="1">
      <alignment horizontal="center" wrapText="1"/>
    </xf>
    <xf numFmtId="49" fontId="52" fillId="3" borderId="1" xfId="0" applyNumberFormat="1" applyFont="1" applyFill="1" applyBorder="1" applyAlignment="1">
      <alignment horizontal="center"/>
    </xf>
    <xf numFmtId="0" fontId="54" fillId="3" borderId="1" xfId="0" quotePrefix="1" applyFont="1" applyFill="1" applyBorder="1" applyAlignment="1">
      <alignment horizontal="center"/>
    </xf>
    <xf numFmtId="0" fontId="53" fillId="3" borderId="1" xfId="0" applyFont="1" applyFill="1" applyBorder="1" applyAlignment="1">
      <alignment horizontal="center"/>
    </xf>
    <xf numFmtId="0" fontId="58" fillId="3" borderId="1" xfId="0" applyFont="1" applyFill="1" applyBorder="1" applyAlignment="1">
      <alignment horizontal="center"/>
    </xf>
    <xf numFmtId="49" fontId="53" fillId="3" borderId="1" xfId="0" applyNumberFormat="1" applyFont="1" applyFill="1" applyBorder="1" applyAlignment="1">
      <alignment horizontal="center" wrapText="1"/>
    </xf>
    <xf numFmtId="0" fontId="4" fillId="3" borderId="1" xfId="0" quotePrefix="1" applyFont="1" applyFill="1" applyBorder="1" applyAlignment="1">
      <alignment horizontal="right"/>
    </xf>
    <xf numFmtId="49" fontId="12" fillId="3" borderId="1" xfId="0" applyNumberFormat="1" applyFont="1" applyFill="1" applyBorder="1" applyAlignment="1" applyProtection="1">
      <alignment horizontal="center" wrapText="1"/>
      <protection locked="0" hidden="1"/>
    </xf>
    <xf numFmtId="0" fontId="60" fillId="3" borderId="1" xfId="0" applyFont="1" applyFill="1" applyBorder="1" applyAlignment="1">
      <alignment horizontal="right"/>
    </xf>
    <xf numFmtId="0" fontId="60" fillId="3" borderId="1" xfId="0" applyFont="1" applyFill="1" applyBorder="1" applyAlignment="1">
      <alignment horizontal="center"/>
    </xf>
    <xf numFmtId="0" fontId="52" fillId="3" borderId="1" xfId="0" applyFont="1" applyFill="1" applyBorder="1" applyAlignment="1">
      <alignment horizontal="center"/>
    </xf>
    <xf numFmtId="0" fontId="4" fillId="3" borderId="25" xfId="0" applyFont="1" applyFill="1" applyBorder="1" applyAlignment="1">
      <alignment horizontal="center" vertical="center"/>
    </xf>
    <xf numFmtId="0" fontId="52" fillId="3" borderId="12" xfId="0" applyFont="1" applyFill="1" applyBorder="1" applyAlignment="1">
      <alignment wrapText="1"/>
    </xf>
    <xf numFmtId="0" fontId="52" fillId="3" borderId="12" xfId="0" applyFont="1" applyFill="1" applyBorder="1" applyAlignment="1">
      <alignment horizontal="left" vertical="center" wrapText="1"/>
    </xf>
    <xf numFmtId="0" fontId="52" fillId="3" borderId="12" xfId="0" applyFont="1" applyFill="1" applyBorder="1" applyAlignment="1" applyProtection="1">
      <alignment horizontal="left" wrapText="1"/>
      <protection locked="0" hidden="1"/>
    </xf>
    <xf numFmtId="0" fontId="52" fillId="3" borderId="12" xfId="0" applyFont="1" applyFill="1" applyBorder="1" applyAlignment="1" applyProtection="1">
      <alignment wrapText="1"/>
      <protection locked="0" hidden="1"/>
    </xf>
    <xf numFmtId="0" fontId="4" fillId="3" borderId="26" xfId="0" applyFont="1" applyFill="1" applyBorder="1" applyAlignment="1">
      <alignment horizontal="center" wrapText="1"/>
    </xf>
    <xf numFmtId="0" fontId="4" fillId="3" borderId="27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49" fillId="3" borderId="20" xfId="0" applyFont="1" applyFill="1" applyBorder="1" applyAlignment="1">
      <alignment horizontal="right"/>
    </xf>
    <xf numFmtId="0" fontId="56" fillId="3" borderId="20" xfId="0" applyFont="1" applyFill="1" applyBorder="1"/>
    <xf numFmtId="0" fontId="57" fillId="3" borderId="20" xfId="0" applyFont="1" applyFill="1" applyBorder="1" applyAlignment="1">
      <alignment horizontal="right"/>
    </xf>
    <xf numFmtId="0" fontId="53" fillId="3" borderId="20" xfId="0" applyFont="1" applyFill="1" applyBorder="1" applyAlignment="1">
      <alignment horizontal="right"/>
    </xf>
    <xf numFmtId="49" fontId="54" fillId="3" borderId="20" xfId="0" applyNumberFormat="1" applyFont="1" applyFill="1" applyBorder="1" applyAlignment="1">
      <alignment horizontal="right" wrapText="1"/>
    </xf>
    <xf numFmtId="0" fontId="57" fillId="3" borderId="20" xfId="0" applyFont="1" applyFill="1" applyBorder="1"/>
    <xf numFmtId="0" fontId="54" fillId="3" borderId="20" xfId="0" applyFont="1" applyFill="1" applyBorder="1"/>
    <xf numFmtId="0" fontId="54" fillId="3" borderId="20" xfId="0" quotePrefix="1" applyFont="1" applyFill="1" applyBorder="1"/>
    <xf numFmtId="0" fontId="3" fillId="3" borderId="20" xfId="0" applyFont="1" applyFill="1" applyBorder="1" applyAlignment="1">
      <alignment horizontal="right"/>
    </xf>
    <xf numFmtId="0" fontId="56" fillId="3" borderId="20" xfId="0" applyFont="1" applyFill="1" applyBorder="1" applyAlignment="1">
      <alignment horizontal="right"/>
    </xf>
    <xf numFmtId="0" fontId="52" fillId="3" borderId="20" xfId="0" applyFont="1" applyFill="1" applyBorder="1" applyAlignment="1">
      <alignment horizontal="right"/>
    </xf>
    <xf numFmtId="0" fontId="10" fillId="3" borderId="6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 vertical="center"/>
    </xf>
    <xf numFmtId="165" fontId="12" fillId="3" borderId="10" xfId="0" applyNumberFormat="1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/>
    </xf>
    <xf numFmtId="0" fontId="54" fillId="3" borderId="3" xfId="0" quotePrefix="1" applyFont="1" applyFill="1" applyBorder="1" applyAlignment="1">
      <alignment horizontal="right"/>
    </xf>
    <xf numFmtId="165" fontId="10" fillId="3" borderId="1" xfId="0" applyNumberFormat="1" applyFont="1" applyFill="1" applyBorder="1" applyAlignment="1">
      <alignment horizontal="center"/>
    </xf>
    <xf numFmtId="49" fontId="12" fillId="3" borderId="6" xfId="0" applyNumberFormat="1" applyFont="1" applyFill="1" applyBorder="1" applyAlignment="1" applyProtection="1">
      <alignment wrapText="1"/>
      <protection locked="0" hidden="1"/>
    </xf>
    <xf numFmtId="0" fontId="47" fillId="3" borderId="8" xfId="0" applyFont="1" applyFill="1" applyBorder="1" applyAlignment="1">
      <alignment horizontal="left" wrapText="1"/>
    </xf>
    <xf numFmtId="0" fontId="51" fillId="3" borderId="37" xfId="0" quotePrefix="1" applyFont="1" applyFill="1" applyBorder="1" applyAlignment="1">
      <alignment horizontal="right"/>
    </xf>
    <xf numFmtId="0" fontId="10" fillId="3" borderId="23" xfId="0" applyFont="1" applyFill="1" applyBorder="1" applyAlignment="1">
      <alignment horizontal="center"/>
    </xf>
    <xf numFmtId="0" fontId="4" fillId="3" borderId="30" xfId="0" applyFont="1" applyFill="1" applyBorder="1" applyAlignment="1">
      <alignment horizontal="right"/>
    </xf>
    <xf numFmtId="0" fontId="5" fillId="3" borderId="21" xfId="0" applyFont="1" applyFill="1" applyBorder="1"/>
    <xf numFmtId="0" fontId="4" fillId="3" borderId="21" xfId="0" applyFont="1" applyFill="1" applyBorder="1" applyAlignment="1">
      <alignment horizontal="right"/>
    </xf>
    <xf numFmtId="0" fontId="3" fillId="3" borderId="21" xfId="0" applyFont="1" applyFill="1" applyBorder="1"/>
    <xf numFmtId="0" fontId="0" fillId="3" borderId="21" xfId="0" applyFill="1" applyBorder="1" applyAlignment="1">
      <alignment horizontal="right"/>
    </xf>
    <xf numFmtId="0" fontId="10" fillId="3" borderId="21" xfId="0" applyFont="1" applyFill="1" applyBorder="1" applyAlignment="1">
      <alignment horizontal="right"/>
    </xf>
    <xf numFmtId="0" fontId="12" fillId="3" borderId="21" xfId="0" applyFont="1" applyFill="1" applyBorder="1" applyAlignment="1">
      <alignment horizontal="right"/>
    </xf>
    <xf numFmtId="49" fontId="10" fillId="3" borderId="21" xfId="0" applyNumberFormat="1" applyFont="1" applyFill="1" applyBorder="1" applyAlignment="1">
      <alignment horizontal="right"/>
    </xf>
    <xf numFmtId="0" fontId="4" fillId="3" borderId="21" xfId="0" quotePrefix="1" applyFont="1" applyFill="1" applyBorder="1" applyAlignment="1">
      <alignment horizontal="right"/>
    </xf>
    <xf numFmtId="0" fontId="9" fillId="3" borderId="21" xfId="0" applyFont="1" applyFill="1" applyBorder="1" applyAlignment="1">
      <alignment horizontal="right"/>
    </xf>
    <xf numFmtId="0" fontId="13" fillId="3" borderId="21" xfId="0" applyFont="1" applyFill="1" applyBorder="1" applyAlignment="1">
      <alignment horizontal="right"/>
    </xf>
    <xf numFmtId="49" fontId="3" fillId="3" borderId="21" xfId="0" applyNumberFormat="1" applyFont="1" applyFill="1" applyBorder="1" applyAlignment="1">
      <alignment horizontal="right" wrapText="1"/>
    </xf>
    <xf numFmtId="0" fontId="10" fillId="3" borderId="21" xfId="0" quotePrefix="1" applyFont="1" applyFill="1" applyBorder="1" applyAlignment="1">
      <alignment horizontal="right"/>
    </xf>
    <xf numFmtId="0" fontId="9" fillId="3" borderId="21" xfId="0" quotePrefix="1" applyFont="1" applyFill="1" applyBorder="1" applyAlignment="1">
      <alignment horizontal="right"/>
    </xf>
    <xf numFmtId="0" fontId="3" fillId="3" borderId="21" xfId="0" quotePrefix="1" applyFont="1" applyFill="1" applyBorder="1" applyAlignment="1">
      <alignment horizontal="right" wrapText="1"/>
    </xf>
    <xf numFmtId="0" fontId="3" fillId="3" borderId="21" xfId="0" quotePrefix="1" applyFont="1" applyFill="1" applyBorder="1"/>
    <xf numFmtId="0" fontId="5" fillId="3" borderId="21" xfId="0" applyFont="1" applyFill="1" applyBorder="1" applyAlignment="1">
      <alignment horizontal="right"/>
    </xf>
    <xf numFmtId="49" fontId="3" fillId="3" borderId="34" xfId="0" applyNumberFormat="1" applyFont="1" applyFill="1" applyBorder="1" applyAlignment="1">
      <alignment horizontal="right"/>
    </xf>
    <xf numFmtId="49" fontId="47" fillId="3" borderId="5" xfId="0" applyNumberFormat="1" applyFont="1" applyFill="1" applyBorder="1" applyAlignment="1" applyProtection="1">
      <alignment horizontal="center" wrapText="1"/>
      <protection locked="0" hidden="1"/>
    </xf>
    <xf numFmtId="49" fontId="52" fillId="3" borderId="6" xfId="0" applyNumberFormat="1" applyFont="1" applyFill="1" applyBorder="1" applyAlignment="1" applyProtection="1">
      <alignment horizontal="center" wrapText="1"/>
      <protection locked="0" hidden="1"/>
    </xf>
    <xf numFmtId="49" fontId="12" fillId="3" borderId="8" xfId="0" applyNumberFormat="1" applyFont="1" applyFill="1" applyBorder="1" applyAlignment="1" applyProtection="1">
      <alignment horizontal="center" wrapText="1"/>
      <protection locked="0" hidden="1"/>
    </xf>
    <xf numFmtId="49" fontId="12" fillId="3" borderId="6" xfId="0" applyNumberFormat="1" applyFont="1" applyFill="1" applyBorder="1" applyAlignment="1" applyProtection="1">
      <alignment horizontal="center" wrapText="1"/>
      <protection locked="0" hidden="1"/>
    </xf>
    <xf numFmtId="0" fontId="54" fillId="3" borderId="6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0" fontId="43" fillId="3" borderId="9" xfId="0" applyFont="1" applyFill="1" applyBorder="1" applyAlignment="1">
      <alignment horizontal="center"/>
    </xf>
    <xf numFmtId="0" fontId="52" fillId="3" borderId="6" xfId="0" applyFont="1" applyFill="1" applyBorder="1" applyAlignment="1">
      <alignment horizontal="center"/>
    </xf>
    <xf numFmtId="49" fontId="12" fillId="3" borderId="6" xfId="0" applyNumberFormat="1" applyFont="1" applyFill="1" applyBorder="1" applyAlignment="1">
      <alignment horizontal="center" wrapText="1"/>
    </xf>
    <xf numFmtId="49" fontId="9" fillId="3" borderId="7" xfId="0" applyNumberFormat="1" applyFont="1" applyFill="1" applyBorder="1" applyAlignment="1">
      <alignment horizontal="center" wrapText="1"/>
    </xf>
    <xf numFmtId="0" fontId="62" fillId="3" borderId="6" xfId="0" applyFont="1" applyFill="1" applyBorder="1" applyAlignment="1">
      <alignment horizontal="left" vertical="top" wrapText="1"/>
    </xf>
    <xf numFmtId="0" fontId="61" fillId="3" borderId="6" xfId="0" applyFont="1" applyFill="1" applyBorder="1" applyAlignment="1">
      <alignment horizontal="left" vertical="center" wrapText="1"/>
    </xf>
    <xf numFmtId="0" fontId="60" fillId="3" borderId="1" xfId="0" quotePrefix="1" applyFont="1" applyFill="1" applyBorder="1" applyAlignment="1">
      <alignment horizontal="center" vertical="top"/>
    </xf>
    <xf numFmtId="0" fontId="60" fillId="3" borderId="20" xfId="0" quotePrefix="1" applyFont="1" applyFill="1" applyBorder="1" applyAlignment="1">
      <alignment horizontal="center" vertical="top"/>
    </xf>
    <xf numFmtId="0" fontId="58" fillId="3" borderId="1" xfId="0" quotePrefix="1" applyFont="1" applyFill="1" applyBorder="1" applyAlignment="1">
      <alignment horizontal="center" vertical="top"/>
    </xf>
    <xf numFmtId="0" fontId="58" fillId="3" borderId="20" xfId="0" quotePrefix="1" applyFont="1" applyFill="1" applyBorder="1" applyAlignment="1">
      <alignment horizontal="center" vertical="top"/>
    </xf>
    <xf numFmtId="0" fontId="11" fillId="3" borderId="0" xfId="0" applyFont="1" applyFill="1" applyAlignment="1">
      <alignment horizontal="left"/>
    </xf>
    <xf numFmtId="0" fontId="10" fillId="3" borderId="1" xfId="0" applyFont="1" applyFill="1" applyBorder="1" applyAlignment="1">
      <alignment horizontal="center"/>
    </xf>
    <xf numFmtId="164" fontId="50" fillId="3" borderId="1" xfId="0" applyNumberFormat="1" applyFont="1" applyFill="1" applyBorder="1" applyAlignment="1">
      <alignment horizontal="right"/>
    </xf>
    <xf numFmtId="164" fontId="55" fillId="3" borderId="1" xfId="0" applyNumberFormat="1" applyFont="1" applyFill="1" applyBorder="1" applyAlignment="1">
      <alignment horizontal="right"/>
    </xf>
    <xf numFmtId="164" fontId="19" fillId="3" borderId="1" xfId="0" applyNumberFormat="1" applyFont="1" applyFill="1" applyBorder="1" applyAlignment="1">
      <alignment horizontal="right"/>
    </xf>
    <xf numFmtId="164" fontId="55" fillId="3" borderId="1" xfId="0" applyNumberFormat="1" applyFont="1" applyFill="1" applyBorder="1"/>
    <xf numFmtId="164" fontId="20" fillId="3" borderId="1" xfId="0" applyNumberFormat="1" applyFont="1" applyFill="1" applyBorder="1" applyAlignment="1">
      <alignment horizontal="right"/>
    </xf>
    <xf numFmtId="165" fontId="55" fillId="3" borderId="1" xfId="0" applyNumberFormat="1" applyFont="1" applyFill="1" applyBorder="1"/>
    <xf numFmtId="164" fontId="52" fillId="3" borderId="1" xfId="0" applyNumberFormat="1" applyFont="1" applyFill="1" applyBorder="1" applyAlignment="1">
      <alignment horizontal="right"/>
    </xf>
    <xf numFmtId="165" fontId="20" fillId="3" borderId="25" xfId="0" applyNumberFormat="1" applyFont="1" applyFill="1" applyBorder="1" applyAlignment="1">
      <alignment horizontal="center" vertical="center" wrapText="1"/>
    </xf>
    <xf numFmtId="165" fontId="20" fillId="3" borderId="27" xfId="0" applyNumberFormat="1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/>
    </xf>
    <xf numFmtId="164" fontId="50" fillId="3" borderId="20" xfId="0" applyNumberFormat="1" applyFont="1" applyFill="1" applyBorder="1" applyAlignment="1">
      <alignment horizontal="right"/>
    </xf>
    <xf numFmtId="164" fontId="55" fillId="3" borderId="20" xfId="0" applyNumberFormat="1" applyFont="1" applyFill="1" applyBorder="1" applyAlignment="1">
      <alignment horizontal="right"/>
    </xf>
    <xf numFmtId="164" fontId="55" fillId="3" borderId="20" xfId="0" applyNumberFormat="1" applyFont="1" applyFill="1" applyBorder="1"/>
    <xf numFmtId="164" fontId="20" fillId="3" borderId="20" xfId="0" applyNumberFormat="1" applyFont="1" applyFill="1" applyBorder="1" applyAlignment="1">
      <alignment horizontal="right"/>
    </xf>
    <xf numFmtId="164" fontId="19" fillId="3" borderId="20" xfId="0" applyNumberFormat="1" applyFont="1" applyFill="1" applyBorder="1" applyAlignment="1">
      <alignment horizontal="right"/>
    </xf>
    <xf numFmtId="165" fontId="55" fillId="3" borderId="20" xfId="0" applyNumberFormat="1" applyFont="1" applyFill="1" applyBorder="1"/>
    <xf numFmtId="164" fontId="52" fillId="3" borderId="20" xfId="0" applyNumberFormat="1" applyFont="1" applyFill="1" applyBorder="1" applyAlignment="1">
      <alignment horizontal="right"/>
    </xf>
    <xf numFmtId="0" fontId="12" fillId="3" borderId="5" xfId="0" applyFont="1" applyFill="1" applyBorder="1" applyAlignment="1">
      <alignment horizontal="center" vertical="center"/>
    </xf>
    <xf numFmtId="0" fontId="47" fillId="3" borderId="6" xfId="0" applyFont="1" applyFill="1" applyBorder="1" applyAlignment="1">
      <alignment horizontal="left" wrapText="1"/>
    </xf>
    <xf numFmtId="0" fontId="52" fillId="3" borderId="6" xfId="0" applyFont="1" applyFill="1" applyBorder="1" applyAlignment="1">
      <alignment wrapText="1"/>
    </xf>
    <xf numFmtId="49" fontId="52" fillId="3" borderId="6" xfId="0" applyNumberFormat="1" applyFont="1" applyFill="1" applyBorder="1" applyAlignment="1">
      <alignment wrapText="1"/>
    </xf>
    <xf numFmtId="49" fontId="52" fillId="3" borderId="6" xfId="0" applyNumberFormat="1" applyFont="1" applyFill="1" applyBorder="1" applyAlignment="1" applyProtection="1">
      <alignment vertical="center" wrapText="1"/>
      <protection locked="0" hidden="1"/>
    </xf>
    <xf numFmtId="0" fontId="52" fillId="3" borderId="6" xfId="0" applyFont="1" applyFill="1" applyBorder="1" applyAlignment="1" applyProtection="1">
      <alignment wrapText="1"/>
      <protection locked="0" hidden="1"/>
    </xf>
    <xf numFmtId="0" fontId="52" fillId="3" borderId="6" xfId="0" applyFont="1" applyFill="1" applyBorder="1" applyAlignment="1">
      <alignment horizontal="left" vertical="center" wrapText="1"/>
    </xf>
    <xf numFmtId="49" fontId="52" fillId="3" borderId="6" xfId="0" applyNumberFormat="1" applyFont="1" applyFill="1" applyBorder="1" applyAlignment="1" applyProtection="1">
      <alignment horizontal="left" vertical="center" wrapText="1"/>
      <protection locked="0" hidden="1"/>
    </xf>
    <xf numFmtId="0" fontId="52" fillId="3" borderId="6" xfId="0" applyFont="1" applyFill="1" applyBorder="1" applyAlignment="1" applyProtection="1">
      <alignment vertical="center" wrapText="1"/>
      <protection locked="0" hidden="1"/>
    </xf>
    <xf numFmtId="0" fontId="52" fillId="3" borderId="6" xfId="0" applyFont="1" applyFill="1" applyBorder="1" applyAlignment="1" applyProtection="1">
      <alignment horizontal="left" vertical="center" wrapText="1"/>
      <protection locked="0" hidden="1"/>
    </xf>
    <xf numFmtId="0" fontId="52" fillId="0" borderId="6" xfId="0" applyFont="1" applyBorder="1" applyAlignment="1">
      <alignment wrapText="1"/>
    </xf>
    <xf numFmtId="0" fontId="52" fillId="3" borderId="6" xfId="0" applyFont="1" applyFill="1" applyBorder="1"/>
    <xf numFmtId="165" fontId="20" fillId="3" borderId="39" xfId="0" applyNumberFormat="1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/>
    </xf>
    <xf numFmtId="164" fontId="50" fillId="3" borderId="2" xfId="0" applyNumberFormat="1" applyFont="1" applyFill="1" applyBorder="1" applyAlignment="1">
      <alignment horizontal="right"/>
    </xf>
    <xf numFmtId="164" fontId="55" fillId="3" borderId="2" xfId="0" applyNumberFormat="1" applyFont="1" applyFill="1" applyBorder="1" applyAlignment="1">
      <alignment horizontal="right"/>
    </xf>
    <xf numFmtId="164" fontId="19" fillId="3" borderId="2" xfId="0" applyNumberFormat="1" applyFont="1" applyFill="1" applyBorder="1" applyAlignment="1">
      <alignment horizontal="right"/>
    </xf>
    <xf numFmtId="164" fontId="55" fillId="3" borderId="2" xfId="0" applyNumberFormat="1" applyFont="1" applyFill="1" applyBorder="1"/>
    <xf numFmtId="164" fontId="20" fillId="3" borderId="2" xfId="0" applyNumberFormat="1" applyFont="1" applyFill="1" applyBorder="1" applyAlignment="1">
      <alignment horizontal="right"/>
    </xf>
    <xf numFmtId="165" fontId="55" fillId="3" borderId="2" xfId="0" applyNumberFormat="1" applyFont="1" applyFill="1" applyBorder="1"/>
    <xf numFmtId="164" fontId="52" fillId="3" borderId="2" xfId="0" applyNumberFormat="1" applyFont="1" applyFill="1" applyBorder="1" applyAlignment="1">
      <alignment horizontal="right"/>
    </xf>
    <xf numFmtId="164" fontId="19" fillId="3" borderId="2" xfId="0" applyNumberFormat="1" applyFont="1" applyFill="1" applyBorder="1"/>
    <xf numFmtId="0" fontId="11" fillId="3" borderId="0" xfId="0" applyFont="1" applyFill="1" applyAlignment="1">
      <alignment horizontal="left" wrapText="1"/>
    </xf>
    <xf numFmtId="165" fontId="16" fillId="3" borderId="0" xfId="0" applyNumberFormat="1" applyFont="1" applyFill="1" applyAlignment="1">
      <alignment horizontal="right"/>
    </xf>
    <xf numFmtId="0" fontId="0" fillId="0" borderId="0" xfId="0" applyAlignment="1">
      <alignment horizontal="right" vertical="center"/>
    </xf>
    <xf numFmtId="0" fontId="52" fillId="3" borderId="13" xfId="0" applyFont="1" applyFill="1" applyBorder="1" applyAlignment="1">
      <alignment horizontal="left" wrapText="1"/>
    </xf>
    <xf numFmtId="0" fontId="53" fillId="3" borderId="28" xfId="0" quotePrefix="1" applyFont="1" applyFill="1" applyBorder="1" applyAlignment="1">
      <alignment horizontal="right"/>
    </xf>
    <xf numFmtId="0" fontId="54" fillId="3" borderId="40" xfId="0" quotePrefix="1" applyFont="1" applyFill="1" applyBorder="1" applyAlignment="1">
      <alignment horizontal="right"/>
    </xf>
    <xf numFmtId="49" fontId="52" fillId="3" borderId="40" xfId="0" applyNumberFormat="1" applyFont="1" applyFill="1" applyBorder="1" applyAlignment="1" applyProtection="1">
      <alignment horizontal="center" wrapText="1"/>
      <protection locked="0" hidden="1"/>
    </xf>
    <xf numFmtId="0" fontId="54" fillId="3" borderId="29" xfId="0" quotePrefix="1" applyFont="1" applyFill="1" applyBorder="1" applyAlignment="1">
      <alignment horizontal="right"/>
    </xf>
    <xf numFmtId="164" fontId="55" fillId="3" borderId="41" xfId="0" applyNumberFormat="1" applyFont="1" applyFill="1" applyBorder="1" applyAlignment="1">
      <alignment horizontal="right"/>
    </xf>
    <xf numFmtId="164" fontId="55" fillId="3" borderId="40" xfId="0" applyNumberFormat="1" applyFont="1" applyFill="1" applyBorder="1" applyAlignment="1">
      <alignment horizontal="right"/>
    </xf>
    <xf numFmtId="164" fontId="55" fillId="3" borderId="29" xfId="0" applyNumberFormat="1" applyFont="1" applyFill="1" applyBorder="1" applyAlignment="1">
      <alignment horizontal="right"/>
    </xf>
    <xf numFmtId="0" fontId="54" fillId="3" borderId="17" xfId="0" applyFont="1" applyFill="1" applyBorder="1" applyAlignment="1">
      <alignment horizontal="right"/>
    </xf>
    <xf numFmtId="0" fontId="54" fillId="3" borderId="17" xfId="0" applyFont="1" applyFill="1" applyBorder="1" applyAlignment="1">
      <alignment horizontal="center"/>
    </xf>
    <xf numFmtId="164" fontId="50" fillId="3" borderId="19" xfId="0" applyNumberFormat="1" applyFont="1" applyFill="1" applyBorder="1" applyAlignment="1">
      <alignment horizontal="right"/>
    </xf>
    <xf numFmtId="164" fontId="50" fillId="3" borderId="42" xfId="0" applyNumberFormat="1" applyFont="1" applyFill="1" applyBorder="1" applyAlignment="1">
      <alignment horizontal="right"/>
    </xf>
    <xf numFmtId="164" fontId="50" fillId="3" borderId="17" xfId="0" applyNumberFormat="1" applyFont="1" applyFill="1" applyBorder="1" applyAlignment="1">
      <alignment horizontal="right"/>
    </xf>
    <xf numFmtId="164" fontId="55" fillId="3" borderId="6" xfId="0" applyNumberFormat="1" applyFont="1" applyFill="1" applyBorder="1" applyAlignment="1">
      <alignment horizontal="right"/>
    </xf>
    <xf numFmtId="0" fontId="2" fillId="3" borderId="0" xfId="0" applyFont="1" applyFill="1"/>
    <xf numFmtId="0" fontId="53" fillId="3" borderId="21" xfId="0" applyFont="1" applyFill="1" applyBorder="1" applyAlignment="1">
      <alignment horizontal="center"/>
    </xf>
    <xf numFmtId="0" fontId="54" fillId="3" borderId="21" xfId="0" quotePrefix="1" applyFont="1" applyFill="1" applyBorder="1" applyAlignment="1">
      <alignment horizontal="right" wrapText="1"/>
    </xf>
    <xf numFmtId="0" fontId="5" fillId="0" borderId="0" xfId="0" applyFont="1" applyAlignment="1">
      <alignment horizontal="left" vertical="top" wrapText="1"/>
    </xf>
    <xf numFmtId="0" fontId="10" fillId="3" borderId="0" xfId="0" applyFont="1" applyFill="1" applyAlignment="1">
      <alignment horizontal="left" vertical="top" wrapText="1"/>
    </xf>
    <xf numFmtId="0" fontId="5" fillId="3" borderId="1" xfId="0" applyFont="1" applyFill="1" applyBorder="1"/>
    <xf numFmtId="164" fontId="55" fillId="3" borderId="3" xfId="0" applyNumberFormat="1" applyFont="1" applyFill="1" applyBorder="1" applyAlignment="1">
      <alignment horizontal="right"/>
    </xf>
    <xf numFmtId="0" fontId="48" fillId="3" borderId="14" xfId="0" quotePrefix="1" applyFont="1" applyFill="1" applyBorder="1" applyAlignment="1">
      <alignment horizontal="right" wrapText="1"/>
    </xf>
    <xf numFmtId="0" fontId="54" fillId="3" borderId="0" xfId="0" applyFont="1" applyFill="1" applyAlignment="1">
      <alignment horizontal="right"/>
    </xf>
    <xf numFmtId="0" fontId="47" fillId="3" borderId="18" xfId="0" applyFont="1" applyFill="1" applyBorder="1" applyAlignment="1">
      <alignment horizontal="left" wrapText="1"/>
    </xf>
    <xf numFmtId="0" fontId="54" fillId="3" borderId="42" xfId="0" applyFont="1" applyFill="1" applyBorder="1" applyAlignment="1">
      <alignment horizontal="right"/>
    </xf>
    <xf numFmtId="0" fontId="53" fillId="3" borderId="7" xfId="0" quotePrefix="1" applyFont="1" applyFill="1" applyBorder="1" applyAlignment="1">
      <alignment horizontal="right"/>
    </xf>
    <xf numFmtId="164" fontId="54" fillId="3" borderId="20" xfId="0" applyNumberFormat="1" applyFont="1" applyFill="1" applyBorder="1" applyAlignment="1">
      <alignment horizontal="right"/>
    </xf>
    <xf numFmtId="165" fontId="12" fillId="3" borderId="38" xfId="0" applyNumberFormat="1" applyFont="1" applyFill="1" applyBorder="1" applyAlignment="1">
      <alignment horizontal="right"/>
    </xf>
    <xf numFmtId="165" fontId="10" fillId="3" borderId="1" xfId="0" applyNumberFormat="1" applyFont="1" applyFill="1" applyBorder="1" applyAlignment="1">
      <alignment horizontal="right"/>
    </xf>
    <xf numFmtId="0" fontId="43" fillId="0" borderId="0" xfId="0" applyFont="1"/>
    <xf numFmtId="0" fontId="64" fillId="0" borderId="0" xfId="0" applyFont="1"/>
    <xf numFmtId="0" fontId="4" fillId="3" borderId="1" xfId="0" applyFont="1" applyFill="1" applyBorder="1" applyAlignment="1">
      <alignment horizontal="center"/>
    </xf>
    <xf numFmtId="164" fontId="65" fillId="3" borderId="1" xfId="0" applyNumberFormat="1" applyFont="1" applyFill="1" applyBorder="1" applyAlignment="1">
      <alignment horizontal="right"/>
    </xf>
    <xf numFmtId="49" fontId="10" fillId="3" borderId="13" xfId="0" applyNumberFormat="1" applyFont="1" applyFill="1" applyBorder="1" applyAlignment="1">
      <alignment horizontal="center"/>
    </xf>
    <xf numFmtId="49" fontId="52" fillId="3" borderId="6" xfId="0" applyNumberFormat="1" applyFont="1" applyFill="1" applyBorder="1" applyAlignment="1">
      <alignment horizontal="center"/>
    </xf>
    <xf numFmtId="49" fontId="52" fillId="3" borderId="43" xfId="0" applyNumberFormat="1" applyFont="1" applyFill="1" applyBorder="1" applyAlignment="1">
      <alignment horizontal="center"/>
    </xf>
    <xf numFmtId="0" fontId="3" fillId="3" borderId="28" xfId="0" quotePrefix="1" applyFont="1" applyFill="1" applyBorder="1" applyAlignment="1">
      <alignment horizontal="right"/>
    </xf>
    <xf numFmtId="0" fontId="3" fillId="3" borderId="29" xfId="0" quotePrefix="1" applyFont="1" applyFill="1" applyBorder="1" applyAlignment="1">
      <alignment horizontal="right"/>
    </xf>
    <xf numFmtId="0" fontId="3" fillId="3" borderId="44" xfId="0" quotePrefix="1" applyFont="1" applyFill="1" applyBorder="1" applyAlignment="1">
      <alignment horizontal="right"/>
    </xf>
    <xf numFmtId="0" fontId="3" fillId="3" borderId="45" xfId="0" quotePrefix="1" applyFont="1" applyFill="1" applyBorder="1" applyAlignment="1">
      <alignment horizontal="right"/>
    </xf>
    <xf numFmtId="0" fontId="54" fillId="3" borderId="14" xfId="0" quotePrefix="1" applyFont="1" applyFill="1" applyBorder="1" applyAlignment="1">
      <alignment horizontal="right"/>
    </xf>
    <xf numFmtId="49" fontId="52" fillId="3" borderId="4" xfId="0" applyNumberFormat="1" applyFont="1" applyFill="1" applyBorder="1" applyAlignment="1">
      <alignment horizontal="center"/>
    </xf>
    <xf numFmtId="49" fontId="54" fillId="3" borderId="29" xfId="0" applyNumberFormat="1" applyFont="1" applyFill="1" applyBorder="1" applyAlignment="1">
      <alignment horizontal="right"/>
    </xf>
    <xf numFmtId="49" fontId="54" fillId="3" borderId="45" xfId="0" applyNumberFormat="1" applyFont="1" applyFill="1" applyBorder="1" applyAlignment="1">
      <alignment horizontal="right"/>
    </xf>
    <xf numFmtId="0" fontId="10" fillId="3" borderId="32" xfId="0" applyFont="1" applyFill="1" applyBorder="1" applyAlignment="1">
      <alignment horizontal="center"/>
    </xf>
    <xf numFmtId="0" fontId="7" fillId="3" borderId="33" xfId="0" applyFont="1" applyFill="1" applyBorder="1" applyAlignment="1">
      <alignment horizontal="center"/>
    </xf>
    <xf numFmtId="0" fontId="7" fillId="3" borderId="24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7" fillId="3" borderId="35" xfId="0" applyFont="1" applyFill="1" applyBorder="1" applyAlignment="1">
      <alignment horizontal="center"/>
    </xf>
    <xf numFmtId="3" fontId="7" fillId="3" borderId="10" xfId="0" applyNumberFormat="1" applyFont="1" applyFill="1" applyBorder="1" applyAlignment="1">
      <alignment horizontal="center"/>
    </xf>
    <xf numFmtId="0" fontId="7" fillId="3" borderId="32" xfId="0" applyFont="1" applyFill="1" applyBorder="1" applyAlignment="1">
      <alignment horizontal="center"/>
    </xf>
    <xf numFmtId="0" fontId="12" fillId="3" borderId="48" xfId="0" applyFont="1" applyFill="1" applyBorder="1" applyAlignment="1">
      <alignment wrapText="1"/>
    </xf>
    <xf numFmtId="0" fontId="3" fillId="3" borderId="49" xfId="0" applyFont="1" applyFill="1" applyBorder="1" applyAlignment="1">
      <alignment horizontal="right"/>
    </xf>
    <xf numFmtId="0" fontId="3" fillId="3" borderId="50" xfId="0" applyFont="1" applyFill="1" applyBorder="1" applyAlignment="1">
      <alignment horizontal="right"/>
    </xf>
    <xf numFmtId="0" fontId="3" fillId="3" borderId="48" xfId="0" applyFont="1" applyFill="1" applyBorder="1" applyAlignment="1">
      <alignment horizontal="center"/>
    </xf>
    <xf numFmtId="164" fontId="20" fillId="3" borderId="48" xfId="0" applyNumberFormat="1" applyFont="1" applyFill="1" applyBorder="1" applyAlignment="1">
      <alignment horizontal="right"/>
    </xf>
    <xf numFmtId="164" fontId="37" fillId="3" borderId="20" xfId="0" quotePrefix="1" applyNumberFormat="1" applyFont="1" applyFill="1" applyBorder="1" applyAlignment="1">
      <alignment horizontal="right"/>
    </xf>
    <xf numFmtId="164" fontId="37" fillId="3" borderId="20" xfId="0" applyNumberFormat="1" applyFont="1" applyFill="1" applyBorder="1" applyAlignment="1">
      <alignment horizontal="right"/>
    </xf>
    <xf numFmtId="165" fontId="19" fillId="3" borderId="20" xfId="0" applyNumberFormat="1" applyFont="1" applyFill="1" applyBorder="1" applyAlignment="1">
      <alignment horizontal="right"/>
    </xf>
    <xf numFmtId="164" fontId="38" fillId="3" borderId="20" xfId="0" applyNumberFormat="1" applyFont="1" applyFill="1" applyBorder="1" applyAlignment="1">
      <alignment horizontal="right"/>
    </xf>
    <xf numFmtId="164" fontId="19" fillId="0" borderId="20" xfId="0" applyNumberFormat="1" applyFont="1" applyBorder="1" applyAlignment="1">
      <alignment horizontal="right"/>
    </xf>
    <xf numFmtId="164" fontId="19" fillId="3" borderId="47" xfId="0" applyNumberFormat="1" applyFont="1" applyFill="1" applyBorder="1" applyAlignment="1">
      <alignment horizontal="right"/>
    </xf>
    <xf numFmtId="0" fontId="10" fillId="3" borderId="6" xfId="0" applyFont="1" applyFill="1" applyBorder="1"/>
    <xf numFmtId="0" fontId="43" fillId="0" borderId="6" xfId="0" applyFont="1" applyBorder="1"/>
    <xf numFmtId="0" fontId="43" fillId="0" borderId="6" xfId="0" applyFont="1" applyBorder="1" applyAlignment="1">
      <alignment wrapText="1"/>
    </xf>
    <xf numFmtId="0" fontId="10" fillId="3" borderId="43" xfId="0" applyFont="1" applyFill="1" applyBorder="1" applyAlignment="1">
      <alignment horizontal="left" wrapText="1"/>
    </xf>
    <xf numFmtId="0" fontId="54" fillId="3" borderId="14" xfId="0" quotePrefix="1" applyFont="1" applyFill="1" applyBorder="1" applyAlignment="1">
      <alignment horizontal="right" wrapText="1"/>
    </xf>
    <xf numFmtId="49" fontId="54" fillId="3" borderId="14" xfId="0" applyNumberFormat="1" applyFont="1" applyFill="1" applyBorder="1" applyAlignment="1">
      <alignment horizontal="right"/>
    </xf>
    <xf numFmtId="0" fontId="54" fillId="3" borderId="14" xfId="0" applyFont="1" applyFill="1" applyBorder="1" applyAlignment="1">
      <alignment horizontal="right"/>
    </xf>
    <xf numFmtId="0" fontId="9" fillId="3" borderId="46" xfId="0" quotePrefix="1" applyFont="1" applyFill="1" applyBorder="1" applyAlignment="1">
      <alignment horizontal="right"/>
    </xf>
    <xf numFmtId="0" fontId="3" fillId="3" borderId="47" xfId="0" quotePrefix="1" applyFont="1" applyFill="1" applyBorder="1" applyAlignment="1">
      <alignment horizontal="right"/>
    </xf>
    <xf numFmtId="0" fontId="54" fillId="3" borderId="6" xfId="0" quotePrefix="1" applyFont="1" applyFill="1" applyBorder="1" applyAlignment="1">
      <alignment horizontal="center"/>
    </xf>
    <xf numFmtId="0" fontId="53" fillId="3" borderId="6" xfId="0" applyFont="1" applyFill="1" applyBorder="1" applyAlignment="1">
      <alignment horizontal="center"/>
    </xf>
    <xf numFmtId="0" fontId="43" fillId="0" borderId="6" xfId="0" applyFont="1" applyBorder="1" applyAlignment="1">
      <alignment horizontal="center"/>
    </xf>
    <xf numFmtId="49" fontId="52" fillId="3" borderId="6" xfId="0" applyNumberFormat="1" applyFont="1" applyFill="1" applyBorder="1" applyAlignment="1">
      <alignment horizontal="center" wrapText="1"/>
    </xf>
    <xf numFmtId="49" fontId="10" fillId="3" borderId="43" xfId="0" applyNumberFormat="1" applyFont="1" applyFill="1" applyBorder="1" applyAlignment="1" applyProtection="1">
      <alignment horizontal="center" wrapText="1"/>
      <protection locked="0" hidden="1"/>
    </xf>
    <xf numFmtId="164" fontId="37" fillId="3" borderId="2" xfId="0" quotePrefix="1" applyNumberFormat="1" applyFont="1" applyFill="1" applyBorder="1" applyAlignment="1">
      <alignment horizontal="right"/>
    </xf>
    <xf numFmtId="164" fontId="37" fillId="3" borderId="2" xfId="0" applyNumberFormat="1" applyFont="1" applyFill="1" applyBorder="1" applyAlignment="1">
      <alignment horizontal="right"/>
    </xf>
    <xf numFmtId="164" fontId="3" fillId="3" borderId="2" xfId="0" quotePrefix="1" applyNumberFormat="1" applyFont="1" applyFill="1" applyBorder="1" applyAlignment="1">
      <alignment horizontal="right"/>
    </xf>
    <xf numFmtId="164" fontId="19" fillId="0" borderId="2" xfId="0" applyNumberFormat="1" applyFont="1" applyBorder="1" applyAlignment="1">
      <alignment horizontal="right"/>
    </xf>
    <xf numFmtId="164" fontId="19" fillId="3" borderId="51" xfId="0" applyNumberFormat="1" applyFont="1" applyFill="1" applyBorder="1" applyAlignment="1">
      <alignment horizontal="right"/>
    </xf>
    <xf numFmtId="164" fontId="20" fillId="3" borderId="52" xfId="0" applyNumberFormat="1" applyFont="1" applyFill="1" applyBorder="1" applyAlignment="1">
      <alignment horizontal="right"/>
    </xf>
    <xf numFmtId="0" fontId="54" fillId="3" borderId="6" xfId="0" applyFont="1" applyFill="1" applyBorder="1" applyAlignment="1">
      <alignment horizontal="right"/>
    </xf>
    <xf numFmtId="0" fontId="54" fillId="3" borderId="6" xfId="0" quotePrefix="1" applyFont="1" applyFill="1" applyBorder="1" applyAlignment="1">
      <alignment horizontal="right"/>
    </xf>
    <xf numFmtId="0" fontId="3" fillId="3" borderId="6" xfId="0" quotePrefix="1" applyFont="1" applyFill="1" applyBorder="1" applyAlignment="1">
      <alignment horizontal="right" wrapText="1"/>
    </xf>
    <xf numFmtId="0" fontId="54" fillId="3" borderId="6" xfId="0" quotePrefix="1" applyFont="1" applyFill="1" applyBorder="1" applyAlignment="1">
      <alignment horizontal="right" wrapText="1"/>
    </xf>
    <xf numFmtId="49" fontId="54" fillId="3" borderId="6" xfId="0" applyNumberFormat="1" applyFont="1" applyFill="1" applyBorder="1" applyAlignment="1">
      <alignment horizontal="right"/>
    </xf>
    <xf numFmtId="0" fontId="3" fillId="3" borderId="6" xfId="0" quotePrefix="1" applyFont="1" applyFill="1" applyBorder="1"/>
    <xf numFmtId="0" fontId="4" fillId="3" borderId="6" xfId="0" applyFont="1" applyFill="1" applyBorder="1" applyAlignment="1">
      <alignment horizontal="right"/>
    </xf>
    <xf numFmtId="0" fontId="5" fillId="3" borderId="6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right" wrapText="1"/>
    </xf>
    <xf numFmtId="0" fontId="13" fillId="3" borderId="6" xfId="0" applyFont="1" applyFill="1" applyBorder="1" applyAlignment="1">
      <alignment horizontal="right"/>
    </xf>
    <xf numFmtId="0" fontId="10" fillId="3" borderId="6" xfId="0" quotePrefix="1" applyFont="1" applyFill="1" applyBorder="1" applyAlignment="1">
      <alignment horizontal="right"/>
    </xf>
    <xf numFmtId="0" fontId="5" fillId="3" borderId="6" xfId="0" applyFont="1" applyFill="1" applyBorder="1"/>
    <xf numFmtId="0" fontId="4" fillId="3" borderId="6" xfId="0" quotePrefix="1" applyFont="1" applyFill="1" applyBorder="1" applyAlignment="1">
      <alignment horizontal="right"/>
    </xf>
    <xf numFmtId="0" fontId="9" fillId="3" borderId="6" xfId="0" quotePrefix="1" applyFont="1" applyFill="1" applyBorder="1" applyAlignment="1">
      <alignment horizontal="right"/>
    </xf>
    <xf numFmtId="49" fontId="3" fillId="2" borderId="6" xfId="0" applyNumberFormat="1" applyFont="1" applyFill="1" applyBorder="1" applyAlignment="1">
      <alignment horizontal="right"/>
    </xf>
    <xf numFmtId="0" fontId="3" fillId="3" borderId="6" xfId="0" applyFont="1" applyFill="1" applyBorder="1"/>
    <xf numFmtId="0" fontId="0" fillId="3" borderId="6" xfId="0" applyFill="1" applyBorder="1" applyAlignment="1">
      <alignment horizontal="right"/>
    </xf>
    <xf numFmtId="0" fontId="10" fillId="3" borderId="6" xfId="0" applyFont="1" applyFill="1" applyBorder="1" applyAlignment="1">
      <alignment horizontal="right"/>
    </xf>
    <xf numFmtId="0" fontId="52" fillId="3" borderId="6" xfId="0" applyFont="1" applyFill="1" applyBorder="1" applyAlignment="1">
      <alignment horizontal="right"/>
    </xf>
    <xf numFmtId="0" fontId="3" fillId="0" borderId="6" xfId="0" quotePrefix="1" applyFont="1" applyBorder="1" applyAlignment="1">
      <alignment horizontal="right"/>
    </xf>
    <xf numFmtId="0" fontId="53" fillId="3" borderId="6" xfId="0" applyFont="1" applyFill="1" applyBorder="1" applyAlignment="1">
      <alignment horizontal="right"/>
    </xf>
    <xf numFmtId="0" fontId="3" fillId="3" borderId="43" xfId="0" quotePrefix="1" applyFont="1" applyFill="1" applyBorder="1" applyAlignment="1">
      <alignment horizontal="right"/>
    </xf>
    <xf numFmtId="164" fontId="39" fillId="3" borderId="35" xfId="0" applyNumberFormat="1" applyFont="1" applyFill="1" applyBorder="1" applyAlignment="1">
      <alignment horizontal="center" vertical="center" wrapText="1"/>
    </xf>
    <xf numFmtId="3" fontId="7" fillId="3" borderId="35" xfId="0" applyNumberFormat="1" applyFont="1" applyFill="1" applyBorder="1" applyAlignment="1">
      <alignment horizontal="center"/>
    </xf>
    <xf numFmtId="164" fontId="19" fillId="3" borderId="14" xfId="0" applyNumberFormat="1" applyFont="1" applyFill="1" applyBorder="1" applyAlignment="1">
      <alignment horizontal="right"/>
    </xf>
    <xf numFmtId="164" fontId="55" fillId="3" borderId="14" xfId="0" applyNumberFormat="1" applyFont="1" applyFill="1" applyBorder="1" applyAlignment="1">
      <alignment horizontal="right"/>
    </xf>
    <xf numFmtId="164" fontId="37" fillId="3" borderId="14" xfId="0" quotePrefix="1" applyNumberFormat="1" applyFont="1" applyFill="1" applyBorder="1" applyAlignment="1">
      <alignment horizontal="right"/>
    </xf>
    <xf numFmtId="164" fontId="37" fillId="3" borderId="14" xfId="0" applyNumberFormat="1" applyFont="1" applyFill="1" applyBorder="1" applyAlignment="1">
      <alignment horizontal="right"/>
    </xf>
    <xf numFmtId="164" fontId="3" fillId="3" borderId="14" xfId="0" quotePrefix="1" applyNumberFormat="1" applyFont="1" applyFill="1" applyBorder="1" applyAlignment="1">
      <alignment horizontal="right"/>
    </xf>
    <xf numFmtId="164" fontId="19" fillId="0" borderId="14" xfId="0" applyNumberFormat="1" applyFont="1" applyBorder="1" applyAlignment="1">
      <alignment horizontal="right"/>
    </xf>
    <xf numFmtId="164" fontId="19" fillId="3" borderId="46" xfId="0" applyNumberFormat="1" applyFont="1" applyFill="1" applyBorder="1" applyAlignment="1">
      <alignment horizontal="right"/>
    </xf>
    <xf numFmtId="165" fontId="39" fillId="3" borderId="32" xfId="0" applyNumberFormat="1" applyFont="1" applyFill="1" applyBorder="1" applyAlignment="1">
      <alignment horizontal="center" vertical="center" wrapText="1"/>
    </xf>
    <xf numFmtId="164" fontId="19" fillId="3" borderId="4" xfId="0" applyNumberFormat="1" applyFont="1" applyFill="1" applyBorder="1" applyAlignment="1">
      <alignment horizontal="right"/>
    </xf>
    <xf numFmtId="164" fontId="55" fillId="3" borderId="4" xfId="0" applyNumberFormat="1" applyFont="1" applyFill="1" applyBorder="1" applyAlignment="1">
      <alignment horizontal="right"/>
    </xf>
    <xf numFmtId="164" fontId="37" fillId="3" borderId="4" xfId="0" quotePrefix="1" applyNumberFormat="1" applyFont="1" applyFill="1" applyBorder="1" applyAlignment="1">
      <alignment horizontal="right"/>
    </xf>
    <xf numFmtId="164" fontId="37" fillId="3" borderId="4" xfId="0" applyNumberFormat="1" applyFont="1" applyFill="1" applyBorder="1" applyAlignment="1">
      <alignment horizontal="right"/>
    </xf>
    <xf numFmtId="165" fontId="19" fillId="3" borderId="4" xfId="0" applyNumberFormat="1" applyFont="1" applyFill="1" applyBorder="1" applyAlignment="1">
      <alignment horizontal="right"/>
    </xf>
    <xf numFmtId="164" fontId="38" fillId="3" borderId="4" xfId="0" applyNumberFormat="1" applyFont="1" applyFill="1" applyBorder="1" applyAlignment="1">
      <alignment horizontal="right"/>
    </xf>
    <xf numFmtId="164" fontId="19" fillId="0" borderId="4" xfId="0" applyNumberFormat="1" applyFont="1" applyBorder="1" applyAlignment="1">
      <alignment horizontal="right"/>
    </xf>
    <xf numFmtId="164" fontId="19" fillId="3" borderId="53" xfId="0" applyNumberFormat="1" applyFont="1" applyFill="1" applyBorder="1" applyAlignment="1">
      <alignment horizontal="right"/>
    </xf>
    <xf numFmtId="164" fontId="20" fillId="3" borderId="54" xfId="0" applyNumberFormat="1" applyFont="1" applyFill="1" applyBorder="1" applyAlignment="1">
      <alignment horizontal="right"/>
    </xf>
    <xf numFmtId="0" fontId="10" fillId="3" borderId="8" xfId="0" applyFont="1" applyFill="1" applyBorder="1" applyAlignment="1">
      <alignment wrapText="1"/>
    </xf>
    <xf numFmtId="0" fontId="3" fillId="3" borderId="8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right"/>
    </xf>
    <xf numFmtId="164" fontId="19" fillId="3" borderId="44" xfId="0" applyNumberFormat="1" applyFont="1" applyFill="1" applyBorder="1" applyAlignment="1">
      <alignment horizontal="right"/>
    </xf>
    <xf numFmtId="164" fontId="19" fillId="3" borderId="45" xfId="0" applyNumberFormat="1" applyFont="1" applyFill="1" applyBorder="1" applyAlignment="1">
      <alignment horizontal="right"/>
    </xf>
    <xf numFmtId="164" fontId="19" fillId="3" borderId="55" xfId="0" applyNumberFormat="1" applyFont="1" applyFill="1" applyBorder="1" applyAlignment="1">
      <alignment horizontal="right"/>
    </xf>
    <xf numFmtId="164" fontId="19" fillId="3" borderId="56" xfId="0" applyNumberFormat="1" applyFont="1" applyFill="1" applyBorder="1" applyAlignment="1">
      <alignment horizontal="right"/>
    </xf>
    <xf numFmtId="0" fontId="17" fillId="3" borderId="16" xfId="0" applyFont="1" applyFill="1" applyBorder="1" applyAlignment="1">
      <alignment horizontal="right" wrapText="1"/>
    </xf>
    <xf numFmtId="0" fontId="4" fillId="3" borderId="19" xfId="0" quotePrefix="1" applyFont="1" applyFill="1" applyBorder="1" applyAlignment="1">
      <alignment horizontal="right"/>
    </xf>
    <xf numFmtId="0" fontId="4" fillId="3" borderId="7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right"/>
    </xf>
    <xf numFmtId="164" fontId="20" fillId="3" borderId="16" xfId="0" applyNumberFormat="1" applyFont="1" applyFill="1" applyBorder="1" applyAlignment="1">
      <alignment horizontal="right"/>
    </xf>
    <xf numFmtId="164" fontId="20" fillId="3" borderId="19" xfId="0" applyNumberFormat="1" applyFont="1" applyFill="1" applyBorder="1" applyAlignment="1">
      <alignment horizontal="right"/>
    </xf>
    <xf numFmtId="164" fontId="20" fillId="3" borderId="42" xfId="0" applyNumberFormat="1" applyFont="1" applyFill="1" applyBorder="1" applyAlignment="1">
      <alignment horizontal="right"/>
    </xf>
    <xf numFmtId="164" fontId="20" fillId="3" borderId="57" xfId="0" applyNumberFormat="1" applyFont="1" applyFill="1" applyBorder="1" applyAlignment="1">
      <alignment horizontal="right"/>
    </xf>
    <xf numFmtId="0" fontId="10" fillId="3" borderId="13" xfId="0" applyFont="1" applyFill="1" applyBorder="1" applyAlignment="1">
      <alignment horizontal="left" wrapText="1"/>
    </xf>
    <xf numFmtId="0" fontId="3" fillId="3" borderId="28" xfId="0" quotePrefix="1" applyFont="1" applyFill="1" applyBorder="1" applyAlignment="1">
      <alignment horizontal="right" wrapText="1"/>
    </xf>
    <xf numFmtId="0" fontId="3" fillId="3" borderId="29" xfId="0" quotePrefix="1" applyFont="1" applyFill="1" applyBorder="1" applyAlignment="1">
      <alignment horizontal="right" wrapText="1"/>
    </xf>
    <xf numFmtId="0" fontId="9" fillId="3" borderId="13" xfId="0" applyFont="1" applyFill="1" applyBorder="1" applyAlignment="1">
      <alignment horizontal="center"/>
    </xf>
    <xf numFmtId="0" fontId="3" fillId="3" borderId="13" xfId="0" quotePrefix="1" applyFont="1" applyFill="1" applyBorder="1" applyAlignment="1">
      <alignment horizontal="right" wrapText="1"/>
    </xf>
    <xf numFmtId="164" fontId="19" fillId="3" borderId="28" xfId="0" applyNumberFormat="1" applyFont="1" applyFill="1" applyBorder="1" applyAlignment="1">
      <alignment horizontal="right"/>
    </xf>
    <xf numFmtId="164" fontId="19" fillId="3" borderId="29" xfId="0" applyNumberFormat="1" applyFont="1" applyFill="1" applyBorder="1" applyAlignment="1">
      <alignment horizontal="right"/>
    </xf>
    <xf numFmtId="164" fontId="19" fillId="3" borderId="41" xfId="0" applyNumberFormat="1" applyFont="1" applyFill="1" applyBorder="1" applyAlignment="1">
      <alignment horizontal="right"/>
    </xf>
    <xf numFmtId="164" fontId="19" fillId="3" borderId="58" xfId="0" applyNumberFormat="1" applyFont="1" applyFill="1" applyBorder="1" applyAlignment="1">
      <alignment horizontal="right"/>
    </xf>
    <xf numFmtId="0" fontId="4" fillId="3" borderId="16" xfId="0" quotePrefix="1" applyFont="1" applyFill="1" applyBorder="1" applyAlignment="1">
      <alignment horizontal="right"/>
    </xf>
    <xf numFmtId="0" fontId="10" fillId="3" borderId="13" xfId="0" applyFont="1" applyFill="1" applyBorder="1" applyAlignment="1">
      <alignment wrapText="1"/>
    </xf>
    <xf numFmtId="0" fontId="9" fillId="3" borderId="13" xfId="0" applyFont="1" applyFill="1" applyBorder="1" applyAlignment="1">
      <alignment horizontal="right"/>
    </xf>
    <xf numFmtId="0" fontId="54" fillId="3" borderId="28" xfId="0" quotePrefix="1" applyFont="1" applyFill="1" applyBorder="1" applyAlignment="1">
      <alignment horizontal="right"/>
    </xf>
    <xf numFmtId="0" fontId="53" fillId="3" borderId="13" xfId="0" applyFont="1" applyFill="1" applyBorder="1" applyAlignment="1">
      <alignment horizontal="center"/>
    </xf>
    <xf numFmtId="0" fontId="54" fillId="3" borderId="13" xfId="0" quotePrefix="1" applyFont="1" applyFill="1" applyBorder="1" applyAlignment="1">
      <alignment horizontal="right"/>
    </xf>
    <xf numFmtId="0" fontId="9" fillId="3" borderId="44" xfId="0" quotePrefix="1" applyFont="1" applyFill="1" applyBorder="1" applyAlignment="1">
      <alignment horizontal="right"/>
    </xf>
    <xf numFmtId="0" fontId="13" fillId="3" borderId="8" xfId="0" applyFont="1" applyFill="1" applyBorder="1" applyAlignment="1">
      <alignment horizontal="center"/>
    </xf>
    <xf numFmtId="0" fontId="13" fillId="3" borderId="8" xfId="0" applyFont="1" applyFill="1" applyBorder="1" applyAlignment="1">
      <alignment horizontal="right"/>
    </xf>
    <xf numFmtId="0" fontId="3" fillId="3" borderId="13" xfId="0" applyFont="1" applyFill="1" applyBorder="1" applyAlignment="1">
      <alignment horizontal="center"/>
    </xf>
    <xf numFmtId="0" fontId="3" fillId="3" borderId="13" xfId="0" quotePrefix="1" applyFont="1" applyFill="1" applyBorder="1" applyAlignment="1">
      <alignment horizontal="right"/>
    </xf>
    <xf numFmtId="0" fontId="4" fillId="3" borderId="8" xfId="0" quotePrefix="1" applyFont="1" applyFill="1" applyBorder="1" applyAlignment="1">
      <alignment horizontal="right"/>
    </xf>
    <xf numFmtId="0" fontId="4" fillId="3" borderId="7" xfId="0" quotePrefix="1" applyFont="1" applyFill="1" applyBorder="1" applyAlignment="1">
      <alignment horizontal="right"/>
    </xf>
    <xf numFmtId="49" fontId="10" fillId="3" borderId="13" xfId="0" applyNumberFormat="1" applyFont="1" applyFill="1" applyBorder="1" applyAlignment="1" applyProtection="1">
      <alignment horizontal="center" wrapText="1"/>
      <protection locked="0" hidden="1"/>
    </xf>
    <xf numFmtId="0" fontId="3" fillId="3" borderId="8" xfId="0" quotePrefix="1" applyFont="1" applyFill="1" applyBorder="1" applyAlignment="1">
      <alignment horizontal="right"/>
    </xf>
    <xf numFmtId="0" fontId="12" fillId="3" borderId="7" xfId="0" applyFont="1" applyFill="1" applyBorder="1" applyAlignment="1">
      <alignment horizontal="left" wrapText="1"/>
    </xf>
    <xf numFmtId="0" fontId="3" fillId="3" borderId="19" xfId="0" quotePrefix="1" applyFont="1" applyFill="1" applyBorder="1" applyAlignment="1">
      <alignment horizontal="right"/>
    </xf>
    <xf numFmtId="0" fontId="3" fillId="3" borderId="7" xfId="0" quotePrefix="1" applyFont="1" applyFill="1" applyBorder="1" applyAlignment="1">
      <alignment horizontal="right"/>
    </xf>
    <xf numFmtId="164" fontId="19" fillId="3" borderId="16" xfId="0" applyNumberFormat="1" applyFont="1" applyFill="1" applyBorder="1" applyAlignment="1">
      <alignment horizontal="right"/>
    </xf>
    <xf numFmtId="164" fontId="19" fillId="3" borderId="19" xfId="0" applyNumberFormat="1" applyFont="1" applyFill="1" applyBorder="1" applyAlignment="1">
      <alignment horizontal="right"/>
    </xf>
    <xf numFmtId="164" fontId="19" fillId="3" borderId="42" xfId="0" applyNumberFormat="1" applyFont="1" applyFill="1" applyBorder="1" applyAlignment="1">
      <alignment horizontal="right"/>
    </xf>
    <xf numFmtId="164" fontId="19" fillId="3" borderId="57" xfId="0" applyNumberFormat="1" applyFont="1" applyFill="1" applyBorder="1" applyAlignment="1">
      <alignment horizontal="right"/>
    </xf>
    <xf numFmtId="0" fontId="9" fillId="3" borderId="28" xfId="0" quotePrefix="1" applyFont="1" applyFill="1" applyBorder="1" applyAlignment="1">
      <alignment horizontal="right"/>
    </xf>
    <xf numFmtId="49" fontId="10" fillId="3" borderId="8" xfId="0" applyNumberFormat="1" applyFont="1" applyFill="1" applyBorder="1" applyAlignment="1" applyProtection="1">
      <alignment horizontal="center" wrapText="1"/>
      <protection locked="0" hidden="1"/>
    </xf>
    <xf numFmtId="0" fontId="4" fillId="3" borderId="19" xfId="0" applyFont="1" applyFill="1" applyBorder="1" applyAlignment="1">
      <alignment horizontal="right"/>
    </xf>
    <xf numFmtId="0" fontId="3" fillId="3" borderId="13" xfId="0" applyFont="1" applyFill="1" applyBorder="1" applyAlignment="1">
      <alignment horizontal="right"/>
    </xf>
    <xf numFmtId="49" fontId="52" fillId="3" borderId="13" xfId="0" applyNumberFormat="1" applyFont="1" applyFill="1" applyBorder="1" applyAlignment="1" applyProtection="1">
      <alignment horizontal="center" wrapText="1"/>
      <protection locked="0" hidden="1"/>
    </xf>
    <xf numFmtId="0" fontId="4" fillId="3" borderId="8" xfId="0" applyFont="1" applyFill="1" applyBorder="1" applyAlignment="1">
      <alignment horizontal="right"/>
    </xf>
    <xf numFmtId="164" fontId="20" fillId="3" borderId="45" xfId="0" applyNumberFormat="1" applyFont="1" applyFill="1" applyBorder="1" applyAlignment="1">
      <alignment horizontal="right"/>
    </xf>
    <xf numFmtId="0" fontId="17" fillId="3" borderId="16" xfId="0" quotePrefix="1" applyFont="1" applyFill="1" applyBorder="1" applyAlignment="1">
      <alignment horizontal="right"/>
    </xf>
    <xf numFmtId="0" fontId="43" fillId="0" borderId="13" xfId="0" applyFont="1" applyBorder="1" applyAlignment="1">
      <alignment wrapText="1"/>
    </xf>
    <xf numFmtId="0" fontId="3" fillId="3" borderId="13" xfId="0" applyFont="1" applyFill="1" applyBorder="1"/>
    <xf numFmtId="0" fontId="9" fillId="3" borderId="8" xfId="0" applyFont="1" applyFill="1" applyBorder="1" applyAlignment="1">
      <alignment horizontal="right"/>
    </xf>
    <xf numFmtId="164" fontId="19" fillId="0" borderId="28" xfId="0" applyNumberFormat="1" applyFont="1" applyBorder="1" applyAlignment="1">
      <alignment horizontal="right"/>
    </xf>
    <xf numFmtId="164" fontId="19" fillId="0" borderId="29" xfId="0" applyNumberFormat="1" applyFont="1" applyBorder="1" applyAlignment="1">
      <alignment horizontal="right"/>
    </xf>
    <xf numFmtId="164" fontId="19" fillId="0" borderId="41" xfId="0" applyNumberFormat="1" applyFont="1" applyBorder="1" applyAlignment="1">
      <alignment horizontal="right"/>
    </xf>
    <xf numFmtId="164" fontId="19" fillId="0" borderId="58" xfId="0" applyNumberFormat="1" applyFont="1" applyBorder="1" applyAlignment="1">
      <alignment horizontal="right"/>
    </xf>
    <xf numFmtId="0" fontId="54" fillId="3" borderId="44" xfId="0" quotePrefix="1" applyFont="1" applyFill="1" applyBorder="1" applyAlignment="1">
      <alignment horizontal="right"/>
    </xf>
    <xf numFmtId="0" fontId="54" fillId="3" borderId="45" xfId="0" quotePrefix="1" applyFont="1" applyFill="1" applyBorder="1" applyAlignment="1">
      <alignment horizontal="right"/>
    </xf>
    <xf numFmtId="49" fontId="52" fillId="3" borderId="8" xfId="0" applyNumberFormat="1" applyFont="1" applyFill="1" applyBorder="1" applyAlignment="1" applyProtection="1">
      <alignment horizontal="center" wrapText="1"/>
      <protection locked="0" hidden="1"/>
    </xf>
    <xf numFmtId="0" fontId="54" fillId="3" borderId="8" xfId="0" quotePrefix="1" applyFont="1" applyFill="1" applyBorder="1" applyAlignment="1">
      <alignment horizontal="right"/>
    </xf>
    <xf numFmtId="164" fontId="19" fillId="0" borderId="44" xfId="0" applyNumberFormat="1" applyFont="1" applyBorder="1" applyAlignment="1">
      <alignment horizontal="right"/>
    </xf>
    <xf numFmtId="164" fontId="19" fillId="0" borderId="45" xfId="0" applyNumberFormat="1" applyFont="1" applyBorder="1" applyAlignment="1">
      <alignment horizontal="right"/>
    </xf>
    <xf numFmtId="164" fontId="19" fillId="0" borderId="55" xfId="0" applyNumberFormat="1" applyFont="1" applyBorder="1" applyAlignment="1">
      <alignment horizontal="right"/>
    </xf>
    <xf numFmtId="164" fontId="19" fillId="0" borderId="56" xfId="0" applyNumberFormat="1" applyFont="1" applyBorder="1" applyAlignment="1">
      <alignment horizontal="right"/>
    </xf>
    <xf numFmtId="0" fontId="47" fillId="3" borderId="7" xfId="0" applyFont="1" applyFill="1" applyBorder="1" applyAlignment="1">
      <alignment horizontal="left" wrapText="1"/>
    </xf>
    <xf numFmtId="0" fontId="51" fillId="3" borderId="16" xfId="0" quotePrefix="1" applyFont="1" applyFill="1" applyBorder="1" applyAlignment="1">
      <alignment horizontal="right"/>
    </xf>
    <xf numFmtId="0" fontId="51" fillId="3" borderId="19" xfId="0" quotePrefix="1" applyFont="1" applyFill="1" applyBorder="1" applyAlignment="1">
      <alignment horizontal="right"/>
    </xf>
    <xf numFmtId="49" fontId="47" fillId="3" borderId="7" xfId="0" applyNumberFormat="1" applyFont="1" applyFill="1" applyBorder="1" applyAlignment="1" applyProtection="1">
      <alignment horizontal="center" wrapText="1"/>
      <protection locked="0" hidden="1"/>
    </xf>
    <xf numFmtId="0" fontId="51" fillId="3" borderId="7" xfId="0" quotePrefix="1" applyFont="1" applyFill="1" applyBorder="1" applyAlignment="1">
      <alignment horizontal="right"/>
    </xf>
    <xf numFmtId="164" fontId="20" fillId="0" borderId="16" xfId="0" applyNumberFormat="1" applyFont="1" applyBorder="1" applyAlignment="1">
      <alignment horizontal="right"/>
    </xf>
    <xf numFmtId="164" fontId="20" fillId="0" borderId="19" xfId="0" applyNumberFormat="1" applyFont="1" applyBorder="1" applyAlignment="1">
      <alignment horizontal="right"/>
    </xf>
    <xf numFmtId="164" fontId="20" fillId="0" borderId="42" xfId="0" applyNumberFormat="1" applyFont="1" applyBorder="1" applyAlignment="1">
      <alignment horizontal="right"/>
    </xf>
    <xf numFmtId="164" fontId="20" fillId="0" borderId="57" xfId="0" applyNumberFormat="1" applyFont="1" applyBorder="1" applyAlignment="1">
      <alignment horizontal="right"/>
    </xf>
    <xf numFmtId="0" fontId="17" fillId="3" borderId="49" xfId="0" quotePrefix="1" applyFont="1" applyFill="1" applyBorder="1" applyAlignment="1">
      <alignment horizontal="right"/>
    </xf>
    <xf numFmtId="0" fontId="4" fillId="3" borderId="50" xfId="0" quotePrefix="1" applyFont="1" applyFill="1" applyBorder="1" applyAlignment="1">
      <alignment horizontal="right"/>
    </xf>
    <xf numFmtId="0" fontId="4" fillId="3" borderId="48" xfId="0" applyFont="1" applyFill="1" applyBorder="1" applyAlignment="1">
      <alignment horizontal="center"/>
    </xf>
    <xf numFmtId="0" fontId="4" fillId="3" borderId="48" xfId="0" applyFont="1" applyFill="1" applyBorder="1" applyAlignment="1">
      <alignment horizontal="right"/>
    </xf>
    <xf numFmtId="164" fontId="20" fillId="3" borderId="49" xfId="0" applyNumberFormat="1" applyFont="1" applyFill="1" applyBorder="1" applyAlignment="1">
      <alignment horizontal="right"/>
    </xf>
    <xf numFmtId="164" fontId="20" fillId="3" borderId="50" xfId="0" applyNumberFormat="1" applyFont="1" applyFill="1" applyBorder="1" applyAlignment="1">
      <alignment horizontal="right"/>
    </xf>
    <xf numFmtId="164" fontId="20" fillId="3" borderId="59" xfId="0" applyNumberFormat="1" applyFont="1" applyFill="1" applyBorder="1" applyAlignment="1">
      <alignment horizontal="right"/>
    </xf>
    <xf numFmtId="164" fontId="20" fillId="3" borderId="60" xfId="0" applyNumberFormat="1" applyFont="1" applyFill="1" applyBorder="1" applyAlignment="1">
      <alignment horizontal="right"/>
    </xf>
    <xf numFmtId="0" fontId="24" fillId="3" borderId="0" xfId="0" applyFont="1" applyFill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0" fillId="3" borderId="0" xfId="0" applyFill="1"/>
    <xf numFmtId="0" fontId="0" fillId="0" borderId="0" xfId="0"/>
    <xf numFmtId="0" fontId="16" fillId="3" borderId="0" xfId="0" applyFont="1" applyFill="1" applyAlignment="1">
      <alignment horizontal="right"/>
    </xf>
    <xf numFmtId="0" fontId="16" fillId="0" borderId="0" xfId="0" applyFont="1" applyAlignment="1">
      <alignment horizontal="right"/>
    </xf>
    <xf numFmtId="0" fontId="10" fillId="3" borderId="0" xfId="0" applyFont="1" applyFill="1" applyAlignment="1">
      <alignment horizontal="left"/>
    </xf>
    <xf numFmtId="0" fontId="10" fillId="3" borderId="0" xfId="0" applyFont="1" applyFill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1" fillId="3" borderId="0" xfId="0" applyFont="1" applyFill="1" applyAlignment="1">
      <alignment horizontal="center" vertical="center" wrapText="1"/>
    </xf>
    <xf numFmtId="0" fontId="42" fillId="3" borderId="0" xfId="0" applyFont="1" applyFill="1" applyAlignment="1">
      <alignment vertical="center"/>
    </xf>
    <xf numFmtId="0" fontId="0" fillId="0" borderId="0" xfId="0" applyAlignment="1">
      <alignment vertical="center"/>
    </xf>
    <xf numFmtId="165" fontId="16" fillId="3" borderId="0" xfId="0" applyNumberFormat="1" applyFont="1" applyFill="1" applyAlignment="1">
      <alignment horizontal="right"/>
    </xf>
    <xf numFmtId="0" fontId="18" fillId="3" borderId="0" xfId="0" applyFont="1" applyFill="1" applyAlignment="1">
      <alignment horizontal="right"/>
    </xf>
    <xf numFmtId="0" fontId="18" fillId="0" borderId="0" xfId="0" applyFont="1"/>
    <xf numFmtId="4" fontId="15" fillId="2" borderId="5" xfId="0" applyNumberFormat="1" applyFont="1" applyFill="1" applyBorder="1" applyAlignment="1">
      <alignment horizontal="center" vertical="center" wrapText="1"/>
    </xf>
    <xf numFmtId="4" fontId="27" fillId="0" borderId="13" xfId="0" applyNumberFormat="1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1" fillId="3" borderId="0" xfId="0" applyFont="1" applyFill="1"/>
    <xf numFmtId="0" fontId="24" fillId="2" borderId="0" xfId="0" applyFont="1" applyFill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3" fillId="2" borderId="26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3" fillId="2" borderId="27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165" fontId="15" fillId="2" borderId="5" xfId="0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4" fillId="3" borderId="0" xfId="0" applyFont="1" applyFill="1" applyAlignment="1">
      <alignment horizontal="center" wrapText="1"/>
    </xf>
    <xf numFmtId="0" fontId="23" fillId="3" borderId="0" xfId="0" applyFont="1" applyFill="1"/>
    <xf numFmtId="164" fontId="18" fillId="3" borderId="0" xfId="0" applyNumberFormat="1" applyFont="1" applyFill="1" applyAlignment="1">
      <alignment horizontal="left"/>
    </xf>
    <xf numFmtId="0" fontId="0" fillId="0" borderId="0" xfId="0" applyAlignment="1">
      <alignment horizontal="left"/>
    </xf>
    <xf numFmtId="0" fontId="36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36" fillId="3" borderId="0" xfId="0" applyFont="1" applyFill="1" applyAlignment="1">
      <alignment horizontal="left"/>
    </xf>
    <xf numFmtId="0" fontId="16" fillId="3" borderId="0" xfId="0" applyFont="1" applyFill="1" applyAlignment="1">
      <alignment horizontal="right" wrapText="1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5" xr:uid="{00000000-0005-0000-0000-000003000000}"/>
    <cellStyle name="Обычный 5" xfId="3" xr:uid="{00000000-0005-0000-0000-000004000000}"/>
    <cellStyle name="Обычный 7" xfId="4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994"/>
  <sheetViews>
    <sheetView tabSelected="1" view="pageBreakPreview" topLeftCell="B1" zoomScaleNormal="100" zoomScaleSheetLayoutView="100" zoomScalePageLayoutView="80" workbookViewId="0">
      <selection activeCell="N3" sqref="N3"/>
    </sheetView>
  </sheetViews>
  <sheetFormatPr defaultColWidth="8.85546875" defaultRowHeight="16.5" x14ac:dyDescent="0.25"/>
  <cols>
    <col min="1" max="1" width="95.28515625" style="10" customWidth="1"/>
    <col min="2" max="3" width="5.42578125" style="12" customWidth="1"/>
    <col min="4" max="4" width="16" style="17" customWidth="1"/>
    <col min="5" max="5" width="6.42578125" style="12" customWidth="1"/>
    <col min="6" max="6" width="15.140625" style="19" customWidth="1"/>
    <col min="7" max="7" width="17" style="11" customWidth="1"/>
    <col min="8" max="8" width="15.140625" style="19" customWidth="1"/>
    <col min="9" max="9" width="17.28515625" style="11" customWidth="1"/>
    <col min="10" max="10" width="15.28515625" style="34" customWidth="1"/>
    <col min="11" max="11" width="18.28515625" style="34" customWidth="1"/>
    <col min="12" max="12" width="8.85546875" style="34"/>
    <col min="13" max="13" width="10.140625" style="34" bestFit="1" customWidth="1"/>
    <col min="14" max="14" width="13.28515625" style="34" customWidth="1"/>
    <col min="15" max="16384" width="8.85546875" style="34"/>
  </cols>
  <sheetData>
    <row r="2" spans="1:15" x14ac:dyDescent="0.25">
      <c r="I2" s="684" t="s">
        <v>768</v>
      </c>
      <c r="J2" s="681"/>
      <c r="K2" s="681"/>
    </row>
    <row r="3" spans="1:15" ht="116.25" customHeight="1" x14ac:dyDescent="0.25">
      <c r="I3" s="685" t="s">
        <v>910</v>
      </c>
      <c r="J3" s="685"/>
      <c r="K3" s="685"/>
    </row>
    <row r="4" spans="1:15" ht="38.25" customHeight="1" x14ac:dyDescent="0.25"/>
    <row r="5" spans="1:15" ht="15.75" x14ac:dyDescent="0.25">
      <c r="B5" s="8"/>
      <c r="C5" s="8"/>
      <c r="F5" s="467"/>
      <c r="G5" s="425"/>
      <c r="H5" s="425"/>
      <c r="I5" s="684" t="s">
        <v>812</v>
      </c>
      <c r="J5" s="681"/>
      <c r="K5" s="681"/>
    </row>
    <row r="6" spans="1:15" ht="103.5" customHeight="1" x14ac:dyDescent="0.25">
      <c r="B6" s="8"/>
      <c r="C6" s="8"/>
      <c r="F6" s="467"/>
      <c r="G6" s="289"/>
      <c r="H6" s="289"/>
      <c r="I6" s="685" t="s">
        <v>809</v>
      </c>
      <c r="J6" s="686"/>
      <c r="K6" s="686"/>
    </row>
    <row r="7" spans="1:15" ht="15.75" hidden="1" customHeight="1" x14ac:dyDescent="0.25">
      <c r="B7" s="8"/>
      <c r="C7" s="8"/>
      <c r="F7" s="467"/>
      <c r="G7" s="682"/>
      <c r="H7" s="683"/>
      <c r="I7" s="683"/>
      <c r="J7" s="683"/>
      <c r="K7" s="683"/>
    </row>
    <row r="8" spans="1:15" ht="15.75" x14ac:dyDescent="0.25">
      <c r="B8" s="8"/>
      <c r="C8" s="8"/>
      <c r="F8" s="467"/>
      <c r="G8" s="100"/>
      <c r="H8" s="100"/>
      <c r="I8" s="100"/>
    </row>
    <row r="9" spans="1:15" ht="12.75" customHeight="1" x14ac:dyDescent="0.25">
      <c r="B9" s="8"/>
      <c r="C9" s="8"/>
      <c r="F9" s="467"/>
      <c r="G9" s="100"/>
      <c r="H9" s="100"/>
      <c r="I9" s="100"/>
    </row>
    <row r="10" spans="1:15" ht="15.75" hidden="1" x14ac:dyDescent="0.25">
      <c r="B10" s="8"/>
      <c r="C10" s="8"/>
      <c r="F10" s="467"/>
      <c r="G10" s="100"/>
      <c r="H10" s="100"/>
      <c r="I10" s="100"/>
    </row>
    <row r="11" spans="1:15" ht="116.45" customHeight="1" x14ac:dyDescent="0.2">
      <c r="A11" s="678" t="s">
        <v>771</v>
      </c>
      <c r="B11" s="679"/>
      <c r="C11" s="679"/>
      <c r="D11" s="679"/>
      <c r="E11" s="679"/>
      <c r="F11" s="680"/>
      <c r="G11" s="680"/>
      <c r="H11" s="680"/>
      <c r="I11" s="680"/>
      <c r="J11" s="681"/>
      <c r="K11" s="681"/>
    </row>
    <row r="12" spans="1:15" ht="22.9" customHeight="1" thickBot="1" x14ac:dyDescent="0.3">
      <c r="K12" s="11" t="s">
        <v>147</v>
      </c>
    </row>
    <row r="13" spans="1:15" ht="88.9" customHeight="1" thickBot="1" x14ac:dyDescent="0.25">
      <c r="A13" s="186" t="s">
        <v>71</v>
      </c>
      <c r="B13" s="187" t="s">
        <v>0</v>
      </c>
      <c r="C13" s="121" t="s">
        <v>19</v>
      </c>
      <c r="D13" s="227" t="s">
        <v>1</v>
      </c>
      <c r="E13" s="226" t="s">
        <v>61</v>
      </c>
      <c r="F13" s="123" t="s">
        <v>431</v>
      </c>
      <c r="G13" s="122" t="s">
        <v>577</v>
      </c>
      <c r="H13" s="573" t="s">
        <v>598</v>
      </c>
      <c r="I13" s="582" t="s">
        <v>577</v>
      </c>
      <c r="J13" s="123" t="s">
        <v>633</v>
      </c>
      <c r="K13" s="122" t="s">
        <v>577</v>
      </c>
    </row>
    <row r="14" spans="1:15" thickBot="1" x14ac:dyDescent="0.3">
      <c r="A14" s="513">
        <v>1</v>
      </c>
      <c r="B14" s="514">
        <v>2</v>
      </c>
      <c r="C14" s="515">
        <v>3</v>
      </c>
      <c r="D14" s="516">
        <v>4</v>
      </c>
      <c r="E14" s="517">
        <v>5</v>
      </c>
      <c r="F14" s="518">
        <v>6</v>
      </c>
      <c r="G14" s="516">
        <v>7</v>
      </c>
      <c r="H14" s="574">
        <v>8</v>
      </c>
      <c r="I14" s="519">
        <v>9</v>
      </c>
      <c r="J14" s="518">
        <v>10</v>
      </c>
      <c r="K14" s="516">
        <v>11</v>
      </c>
    </row>
    <row r="15" spans="1:15" s="103" customFormat="1" ht="17.25" thickBot="1" x14ac:dyDescent="0.3">
      <c r="A15" s="258" t="s">
        <v>24</v>
      </c>
      <c r="B15" s="599" t="s">
        <v>28</v>
      </c>
      <c r="C15" s="600"/>
      <c r="D15" s="601"/>
      <c r="E15" s="602"/>
      <c r="F15" s="603">
        <f>F16+F23+F47+F90+F132+F122+F127</f>
        <v>492815.9</v>
      </c>
      <c r="G15" s="604">
        <f>G16+G23+G47+G90+G132+G122</f>
        <v>13542.1</v>
      </c>
      <c r="H15" s="605">
        <f>H16+H23+H47+H90+H132+H122</f>
        <v>340551.4</v>
      </c>
      <c r="I15" s="606">
        <f>I16+I23+I47+I90+I132+I122</f>
        <v>7771</v>
      </c>
      <c r="J15" s="603">
        <f>J16+J23+J47+J90+J132+J122</f>
        <v>324465</v>
      </c>
      <c r="K15" s="604">
        <f>K16+K23+K47+K90+K132+K122</f>
        <v>6899.2000000000007</v>
      </c>
      <c r="L15" s="114"/>
      <c r="N15" s="114"/>
      <c r="O15" s="114"/>
    </row>
    <row r="16" spans="1:15" s="103" customFormat="1" ht="31.5" x14ac:dyDescent="0.25">
      <c r="A16" s="592" t="s">
        <v>9</v>
      </c>
      <c r="B16" s="507" t="s">
        <v>28</v>
      </c>
      <c r="C16" s="508" t="s">
        <v>29</v>
      </c>
      <c r="D16" s="593"/>
      <c r="E16" s="594"/>
      <c r="F16" s="595">
        <f>F17</f>
        <v>12052.8</v>
      </c>
      <c r="G16" s="596"/>
      <c r="H16" s="597">
        <f>H17</f>
        <v>3451.3</v>
      </c>
      <c r="I16" s="598"/>
      <c r="J16" s="595">
        <f t="shared" ref="J16:J21" si="0">J17</f>
        <v>3451.3</v>
      </c>
      <c r="K16" s="596"/>
      <c r="L16" s="114"/>
      <c r="N16" s="114"/>
      <c r="O16" s="114"/>
    </row>
    <row r="17" spans="1:15" s="103" customFormat="1" x14ac:dyDescent="0.25">
      <c r="A17" s="182" t="s">
        <v>184</v>
      </c>
      <c r="B17" s="132" t="s">
        <v>28</v>
      </c>
      <c r="C17" s="331" t="s">
        <v>29</v>
      </c>
      <c r="D17" s="116" t="s">
        <v>110</v>
      </c>
      <c r="E17" s="205"/>
      <c r="F17" s="575">
        <f>F18</f>
        <v>12052.8</v>
      </c>
      <c r="G17" s="441"/>
      <c r="H17" s="460">
        <f>H18</f>
        <v>3451.3</v>
      </c>
      <c r="I17" s="583"/>
      <c r="J17" s="575">
        <f t="shared" si="0"/>
        <v>3451.3</v>
      </c>
      <c r="K17" s="441"/>
      <c r="L17" s="114"/>
      <c r="N17" s="114"/>
      <c r="O17" s="114"/>
    </row>
    <row r="18" spans="1:15" s="103" customFormat="1" x14ac:dyDescent="0.25">
      <c r="A18" s="182" t="s">
        <v>187</v>
      </c>
      <c r="B18" s="132" t="s">
        <v>28</v>
      </c>
      <c r="C18" s="331" t="s">
        <v>29</v>
      </c>
      <c r="D18" s="116" t="s">
        <v>188</v>
      </c>
      <c r="E18" s="205"/>
      <c r="F18" s="575">
        <f>F19</f>
        <v>12052.8</v>
      </c>
      <c r="G18" s="441"/>
      <c r="H18" s="460">
        <f>H19</f>
        <v>3451.3</v>
      </c>
      <c r="I18" s="583"/>
      <c r="J18" s="575">
        <f t="shared" si="0"/>
        <v>3451.3</v>
      </c>
      <c r="K18" s="441"/>
      <c r="L18" s="114"/>
      <c r="N18" s="114"/>
      <c r="O18" s="114"/>
    </row>
    <row r="19" spans="1:15" s="103" customFormat="1" ht="31.5" x14ac:dyDescent="0.25">
      <c r="A19" s="182" t="s">
        <v>189</v>
      </c>
      <c r="B19" s="132" t="s">
        <v>28</v>
      </c>
      <c r="C19" s="331" t="s">
        <v>29</v>
      </c>
      <c r="D19" s="116" t="s">
        <v>190</v>
      </c>
      <c r="E19" s="205"/>
      <c r="F19" s="575">
        <f>F20</f>
        <v>12052.8</v>
      </c>
      <c r="G19" s="441"/>
      <c r="H19" s="460">
        <f>H20</f>
        <v>3451.3</v>
      </c>
      <c r="I19" s="583"/>
      <c r="J19" s="575">
        <f t="shared" si="0"/>
        <v>3451.3</v>
      </c>
      <c r="K19" s="441"/>
      <c r="L19" s="114"/>
      <c r="N19" s="114"/>
      <c r="O19" s="114"/>
    </row>
    <row r="20" spans="1:15" s="103" customFormat="1" x14ac:dyDescent="0.25">
      <c r="A20" s="182" t="s">
        <v>191</v>
      </c>
      <c r="B20" s="132" t="s">
        <v>28</v>
      </c>
      <c r="C20" s="331" t="s">
        <v>29</v>
      </c>
      <c r="D20" s="116" t="s">
        <v>192</v>
      </c>
      <c r="E20" s="205"/>
      <c r="F20" s="575">
        <f>'ведом. 2025-2027'!AD18</f>
        <v>12052.8</v>
      </c>
      <c r="G20" s="441"/>
      <c r="H20" s="460">
        <f>'ведом. 2025-2027'!AE18</f>
        <v>3451.3</v>
      </c>
      <c r="I20" s="583"/>
      <c r="J20" s="575">
        <f t="shared" si="0"/>
        <v>3451.3</v>
      </c>
      <c r="K20" s="441"/>
      <c r="L20" s="114"/>
      <c r="N20" s="114"/>
      <c r="O20" s="114"/>
    </row>
    <row r="21" spans="1:15" s="103" customFormat="1" ht="47.25" x14ac:dyDescent="0.25">
      <c r="A21" s="252" t="s">
        <v>40</v>
      </c>
      <c r="B21" s="132" t="s">
        <v>28</v>
      </c>
      <c r="C21" s="331" t="s">
        <v>29</v>
      </c>
      <c r="D21" s="116" t="s">
        <v>192</v>
      </c>
      <c r="E21" s="205">
        <v>100</v>
      </c>
      <c r="F21" s="575">
        <f>F22</f>
        <v>12052.8</v>
      </c>
      <c r="G21" s="441"/>
      <c r="H21" s="460">
        <f>H22</f>
        <v>3451.3</v>
      </c>
      <c r="I21" s="583"/>
      <c r="J21" s="575">
        <f t="shared" si="0"/>
        <v>3451.3</v>
      </c>
      <c r="K21" s="441"/>
      <c r="L21" s="114"/>
      <c r="N21" s="114"/>
      <c r="O21" s="114"/>
    </row>
    <row r="22" spans="1:15" s="103" customFormat="1" x14ac:dyDescent="0.25">
      <c r="A22" s="252" t="s">
        <v>94</v>
      </c>
      <c r="B22" s="132" t="s">
        <v>28</v>
      </c>
      <c r="C22" s="331" t="s">
        <v>29</v>
      </c>
      <c r="D22" s="116" t="s">
        <v>192</v>
      </c>
      <c r="E22" s="205">
        <v>120</v>
      </c>
      <c r="F22" s="575">
        <f>'ведом. 2025-2027'!AD20</f>
        <v>12052.8</v>
      </c>
      <c r="G22" s="441"/>
      <c r="H22" s="460">
        <f>'ведом. 2025-2027'!AE20</f>
        <v>3451.3</v>
      </c>
      <c r="I22" s="583"/>
      <c r="J22" s="575">
        <f>'ведом. 2025-2027'!AF20</f>
        <v>3451.3</v>
      </c>
      <c r="K22" s="441"/>
      <c r="L22" s="114"/>
      <c r="N22" s="114"/>
      <c r="O22" s="114"/>
    </row>
    <row r="23" spans="1:15" s="103" customFormat="1" ht="31.5" x14ac:dyDescent="0.25">
      <c r="A23" s="252" t="s">
        <v>27</v>
      </c>
      <c r="B23" s="132" t="s">
        <v>28</v>
      </c>
      <c r="C23" s="331" t="s">
        <v>6</v>
      </c>
      <c r="D23" s="222"/>
      <c r="E23" s="205"/>
      <c r="F23" s="575">
        <f>F30+F24</f>
        <v>19609.3</v>
      </c>
      <c r="G23" s="441"/>
      <c r="H23" s="460">
        <f>H30+H24</f>
        <v>16740.900000000001</v>
      </c>
      <c r="I23" s="583"/>
      <c r="J23" s="575">
        <f>J30+J24</f>
        <v>16740.900000000001</v>
      </c>
      <c r="K23" s="441"/>
      <c r="L23" s="114"/>
      <c r="N23" s="114"/>
      <c r="O23" s="114"/>
    </row>
    <row r="24" spans="1:15" s="103" customFormat="1" x14ac:dyDescent="0.25">
      <c r="A24" s="299" t="s">
        <v>184</v>
      </c>
      <c r="B24" s="509" t="s">
        <v>28</v>
      </c>
      <c r="C24" s="297" t="s">
        <v>6</v>
      </c>
      <c r="D24" s="409" t="s">
        <v>110</v>
      </c>
      <c r="E24" s="551"/>
      <c r="F24" s="575">
        <f>F25</f>
        <v>20</v>
      </c>
      <c r="G24" s="441"/>
      <c r="H24" s="460">
        <f t="shared" ref="H24:J28" si="1">H25</f>
        <v>0</v>
      </c>
      <c r="I24" s="583"/>
      <c r="J24" s="575">
        <f t="shared" si="1"/>
        <v>0</v>
      </c>
      <c r="K24" s="441"/>
      <c r="L24" s="114"/>
      <c r="N24" s="114"/>
      <c r="O24" s="114"/>
    </row>
    <row r="25" spans="1:15" s="103" customFormat="1" x14ac:dyDescent="0.25">
      <c r="A25" s="299" t="s">
        <v>187</v>
      </c>
      <c r="B25" s="509" t="s">
        <v>28</v>
      </c>
      <c r="C25" s="297" t="s">
        <v>6</v>
      </c>
      <c r="D25" s="409" t="s">
        <v>188</v>
      </c>
      <c r="E25" s="551"/>
      <c r="F25" s="575">
        <f>F26</f>
        <v>20</v>
      </c>
      <c r="G25" s="441"/>
      <c r="H25" s="460">
        <f t="shared" si="1"/>
        <v>0</v>
      </c>
      <c r="I25" s="583"/>
      <c r="J25" s="575">
        <f t="shared" si="1"/>
        <v>0</v>
      </c>
      <c r="K25" s="441"/>
      <c r="L25" s="114"/>
      <c r="N25" s="114"/>
      <c r="O25" s="114"/>
    </row>
    <row r="26" spans="1:15" s="103" customFormat="1" ht="31.5" x14ac:dyDescent="0.25">
      <c r="A26" s="294" t="s">
        <v>529</v>
      </c>
      <c r="B26" s="509" t="s">
        <v>28</v>
      </c>
      <c r="C26" s="297" t="s">
        <v>6</v>
      </c>
      <c r="D26" s="503" t="s">
        <v>530</v>
      </c>
      <c r="E26" s="552"/>
      <c r="F26" s="575">
        <f>F27</f>
        <v>20</v>
      </c>
      <c r="G26" s="441"/>
      <c r="H26" s="460">
        <f t="shared" si="1"/>
        <v>0</v>
      </c>
      <c r="I26" s="583"/>
      <c r="J26" s="575">
        <f t="shared" si="1"/>
        <v>0</v>
      </c>
      <c r="K26" s="441"/>
      <c r="L26" s="114"/>
      <c r="N26" s="114"/>
      <c r="O26" s="114"/>
    </row>
    <row r="27" spans="1:15" s="103" customFormat="1" ht="78.75" x14ac:dyDescent="0.25">
      <c r="A27" s="294" t="s">
        <v>401</v>
      </c>
      <c r="B27" s="509" t="s">
        <v>28</v>
      </c>
      <c r="C27" s="297" t="s">
        <v>6</v>
      </c>
      <c r="D27" s="409" t="s">
        <v>531</v>
      </c>
      <c r="E27" s="552"/>
      <c r="F27" s="575">
        <f>F28</f>
        <v>20</v>
      </c>
      <c r="G27" s="441"/>
      <c r="H27" s="460">
        <f t="shared" si="1"/>
        <v>0</v>
      </c>
      <c r="I27" s="583"/>
      <c r="J27" s="575">
        <f t="shared" si="1"/>
        <v>0</v>
      </c>
      <c r="K27" s="441"/>
      <c r="L27" s="114"/>
      <c r="N27" s="114"/>
      <c r="O27" s="114"/>
    </row>
    <row r="28" spans="1:15" s="103" customFormat="1" x14ac:dyDescent="0.25">
      <c r="A28" s="294" t="s">
        <v>118</v>
      </c>
      <c r="B28" s="509" t="s">
        <v>28</v>
      </c>
      <c r="C28" s="297" t="s">
        <v>6</v>
      </c>
      <c r="D28" s="409" t="s">
        <v>531</v>
      </c>
      <c r="E28" s="552">
        <v>200</v>
      </c>
      <c r="F28" s="575">
        <f>F29</f>
        <v>20</v>
      </c>
      <c r="G28" s="441"/>
      <c r="H28" s="460">
        <f t="shared" si="1"/>
        <v>0</v>
      </c>
      <c r="I28" s="583"/>
      <c r="J28" s="575">
        <f t="shared" si="1"/>
        <v>0</v>
      </c>
      <c r="K28" s="441"/>
      <c r="L28" s="114"/>
      <c r="N28" s="114"/>
      <c r="O28" s="114"/>
    </row>
    <row r="29" spans="1:15" s="103" customFormat="1" ht="31.5" x14ac:dyDescent="0.25">
      <c r="A29" s="294" t="s">
        <v>51</v>
      </c>
      <c r="B29" s="509" t="s">
        <v>28</v>
      </c>
      <c r="C29" s="297" t="s">
        <v>6</v>
      </c>
      <c r="D29" s="409" t="s">
        <v>531</v>
      </c>
      <c r="E29" s="552">
        <v>240</v>
      </c>
      <c r="F29" s="575">
        <f>'ведом. 2025-2027'!AD560</f>
        <v>20</v>
      </c>
      <c r="G29" s="441"/>
      <c r="H29" s="460">
        <f>'ведом. 2025-2027'!AE560</f>
        <v>0</v>
      </c>
      <c r="I29" s="583"/>
      <c r="J29" s="575">
        <f>'ведом. 2025-2027'!AF560</f>
        <v>0</v>
      </c>
      <c r="K29" s="441"/>
      <c r="L29" s="114"/>
      <c r="N29" s="114"/>
      <c r="O29" s="114"/>
    </row>
    <row r="30" spans="1:15" s="103" customFormat="1" ht="31.5" x14ac:dyDescent="0.25">
      <c r="A30" s="182" t="s">
        <v>272</v>
      </c>
      <c r="B30" s="132" t="s">
        <v>28</v>
      </c>
      <c r="C30" s="331" t="s">
        <v>6</v>
      </c>
      <c r="D30" s="116" t="s">
        <v>97</v>
      </c>
      <c r="E30" s="205"/>
      <c r="F30" s="575">
        <f>F31+F34+F37</f>
        <v>19589.3</v>
      </c>
      <c r="G30" s="441"/>
      <c r="H30" s="460">
        <f>H31+H34+H37</f>
        <v>16740.900000000001</v>
      </c>
      <c r="I30" s="583"/>
      <c r="J30" s="575">
        <f>J31+J34+J37</f>
        <v>16740.900000000001</v>
      </c>
      <c r="K30" s="441"/>
      <c r="L30" s="114"/>
      <c r="N30" s="114"/>
      <c r="O30" s="114"/>
    </row>
    <row r="31" spans="1:15" s="103" customFormat="1" x14ac:dyDescent="0.25">
      <c r="A31" s="531" t="s">
        <v>279</v>
      </c>
      <c r="B31" s="132" t="s">
        <v>28</v>
      </c>
      <c r="C31" s="331" t="s">
        <v>6</v>
      </c>
      <c r="D31" s="116" t="s">
        <v>282</v>
      </c>
      <c r="E31" s="334"/>
      <c r="F31" s="575">
        <f>F32</f>
        <v>3646</v>
      </c>
      <c r="G31" s="441"/>
      <c r="H31" s="460">
        <f>H32</f>
        <v>2936</v>
      </c>
      <c r="I31" s="583"/>
      <c r="J31" s="575">
        <f>J32</f>
        <v>2936</v>
      </c>
      <c r="K31" s="441"/>
      <c r="L31" s="114"/>
      <c r="N31" s="114"/>
      <c r="O31" s="114"/>
    </row>
    <row r="32" spans="1:15" s="103" customFormat="1" ht="47.25" x14ac:dyDescent="0.25">
      <c r="A32" s="252" t="s">
        <v>40</v>
      </c>
      <c r="B32" s="132" t="s">
        <v>28</v>
      </c>
      <c r="C32" s="331" t="s">
        <v>6</v>
      </c>
      <c r="D32" s="116" t="s">
        <v>282</v>
      </c>
      <c r="E32" s="205">
        <v>100</v>
      </c>
      <c r="F32" s="575">
        <f>F33</f>
        <v>3646</v>
      </c>
      <c r="G32" s="441"/>
      <c r="H32" s="460">
        <f>H33</f>
        <v>2936</v>
      </c>
      <c r="I32" s="583"/>
      <c r="J32" s="575">
        <f>J33</f>
        <v>2936</v>
      </c>
      <c r="K32" s="441"/>
      <c r="L32" s="114"/>
      <c r="N32" s="114"/>
      <c r="O32" s="114"/>
    </row>
    <row r="33" spans="1:15" s="103" customFormat="1" x14ac:dyDescent="0.25">
      <c r="A33" s="252" t="s">
        <v>94</v>
      </c>
      <c r="B33" s="132" t="s">
        <v>28</v>
      </c>
      <c r="C33" s="331" t="s">
        <v>6</v>
      </c>
      <c r="D33" s="116" t="s">
        <v>282</v>
      </c>
      <c r="E33" s="334">
        <v>120</v>
      </c>
      <c r="F33" s="575">
        <f>'ведом. 2025-2027'!AD564</f>
        <v>3646</v>
      </c>
      <c r="G33" s="441"/>
      <c r="H33" s="460">
        <f>'ведом. 2025-2027'!AE564</f>
        <v>2936</v>
      </c>
      <c r="I33" s="583"/>
      <c r="J33" s="575">
        <f>'ведом. 2025-2027'!AF564</f>
        <v>2936</v>
      </c>
      <c r="K33" s="441"/>
      <c r="L33" s="114"/>
      <c r="N33" s="114"/>
      <c r="O33" s="114"/>
    </row>
    <row r="34" spans="1:15" s="103" customFormat="1" x14ac:dyDescent="0.25">
      <c r="A34" s="252" t="s">
        <v>325</v>
      </c>
      <c r="B34" s="132" t="s">
        <v>28</v>
      </c>
      <c r="C34" s="331" t="s">
        <v>6</v>
      </c>
      <c r="D34" s="116" t="s">
        <v>283</v>
      </c>
      <c r="E34" s="334"/>
      <c r="F34" s="575">
        <f>F36</f>
        <v>2533.5</v>
      </c>
      <c r="G34" s="441"/>
      <c r="H34" s="460">
        <f>H36</f>
        <v>2279.5</v>
      </c>
      <c r="I34" s="583"/>
      <c r="J34" s="575">
        <f>J36</f>
        <v>2279.5</v>
      </c>
      <c r="K34" s="441"/>
      <c r="L34" s="114"/>
      <c r="N34" s="114"/>
      <c r="O34" s="114"/>
    </row>
    <row r="35" spans="1:15" s="103" customFormat="1" ht="47.25" x14ac:dyDescent="0.25">
      <c r="A35" s="252" t="s">
        <v>40</v>
      </c>
      <c r="B35" s="132" t="s">
        <v>28</v>
      </c>
      <c r="C35" s="331" t="s">
        <v>6</v>
      </c>
      <c r="D35" s="116" t="s">
        <v>283</v>
      </c>
      <c r="E35" s="205">
        <v>100</v>
      </c>
      <c r="F35" s="575">
        <f>F36</f>
        <v>2533.5</v>
      </c>
      <c r="G35" s="441"/>
      <c r="H35" s="460">
        <f>H36</f>
        <v>2279.5</v>
      </c>
      <c r="I35" s="583"/>
      <c r="J35" s="575">
        <f>J36</f>
        <v>2279.5</v>
      </c>
      <c r="K35" s="441"/>
      <c r="L35" s="114"/>
      <c r="N35" s="114"/>
      <c r="O35" s="114"/>
    </row>
    <row r="36" spans="1:15" s="103" customFormat="1" x14ac:dyDescent="0.25">
      <c r="A36" s="252" t="s">
        <v>94</v>
      </c>
      <c r="B36" s="132" t="s">
        <v>28</v>
      </c>
      <c r="C36" s="331" t="s">
        <v>6</v>
      </c>
      <c r="D36" s="116" t="s">
        <v>283</v>
      </c>
      <c r="E36" s="334">
        <v>120</v>
      </c>
      <c r="F36" s="575">
        <f>'ведом. 2025-2027'!AD567</f>
        <v>2533.5</v>
      </c>
      <c r="G36" s="441"/>
      <c r="H36" s="460">
        <f>'ведом. 2025-2027'!AE567</f>
        <v>2279.5</v>
      </c>
      <c r="I36" s="583"/>
      <c r="J36" s="575">
        <f>'ведом. 2025-2027'!AF567</f>
        <v>2279.5</v>
      </c>
      <c r="K36" s="441"/>
      <c r="L36" s="114"/>
      <c r="N36" s="114"/>
      <c r="O36" s="114"/>
    </row>
    <row r="37" spans="1:15" s="103" customFormat="1" x14ac:dyDescent="0.25">
      <c r="A37" s="183" t="s">
        <v>280</v>
      </c>
      <c r="B37" s="132" t="s">
        <v>28</v>
      </c>
      <c r="C37" s="331" t="s">
        <v>6</v>
      </c>
      <c r="D37" s="116" t="s">
        <v>281</v>
      </c>
      <c r="E37" s="334"/>
      <c r="F37" s="575">
        <f>F38+F41+F44</f>
        <v>13409.8</v>
      </c>
      <c r="G37" s="441"/>
      <c r="H37" s="460">
        <f>H38+H41+H44</f>
        <v>11525.4</v>
      </c>
      <c r="I37" s="583"/>
      <c r="J37" s="575">
        <f>J38+J41+J44</f>
        <v>11525.4</v>
      </c>
      <c r="K37" s="441"/>
      <c r="L37" s="114"/>
      <c r="N37" s="114"/>
      <c r="O37" s="114"/>
    </row>
    <row r="38" spans="1:15" s="103" customFormat="1" ht="31.5" x14ac:dyDescent="0.25">
      <c r="A38" s="252" t="s">
        <v>284</v>
      </c>
      <c r="B38" s="132" t="s">
        <v>28</v>
      </c>
      <c r="C38" s="331" t="s">
        <v>6</v>
      </c>
      <c r="D38" s="116" t="s">
        <v>285</v>
      </c>
      <c r="E38" s="334"/>
      <c r="F38" s="575">
        <f>F39</f>
        <v>3285.4</v>
      </c>
      <c r="G38" s="441"/>
      <c r="H38" s="460">
        <f>H39</f>
        <v>1849.9</v>
      </c>
      <c r="I38" s="583"/>
      <c r="J38" s="575">
        <f>J39</f>
        <v>1849.9</v>
      </c>
      <c r="K38" s="441"/>
      <c r="L38" s="114"/>
      <c r="N38" s="114"/>
      <c r="O38" s="114"/>
    </row>
    <row r="39" spans="1:15" s="103" customFormat="1" x14ac:dyDescent="0.25">
      <c r="A39" s="252" t="s">
        <v>118</v>
      </c>
      <c r="B39" s="132" t="s">
        <v>28</v>
      </c>
      <c r="C39" s="331" t="s">
        <v>6</v>
      </c>
      <c r="D39" s="116" t="s">
        <v>285</v>
      </c>
      <c r="E39" s="334">
        <v>200</v>
      </c>
      <c r="F39" s="575">
        <f>F40</f>
        <v>3285.4</v>
      </c>
      <c r="G39" s="441"/>
      <c r="H39" s="460">
        <f>H40</f>
        <v>1849.9</v>
      </c>
      <c r="I39" s="583"/>
      <c r="J39" s="575">
        <f>J40</f>
        <v>1849.9</v>
      </c>
      <c r="K39" s="441"/>
      <c r="L39" s="114"/>
      <c r="N39" s="114"/>
      <c r="O39" s="114"/>
    </row>
    <row r="40" spans="1:15" s="103" customFormat="1" ht="31.5" x14ac:dyDescent="0.25">
      <c r="A40" s="252" t="s">
        <v>51</v>
      </c>
      <c r="B40" s="132" t="s">
        <v>28</v>
      </c>
      <c r="C40" s="331" t="s">
        <v>6</v>
      </c>
      <c r="D40" s="116" t="s">
        <v>285</v>
      </c>
      <c r="E40" s="334">
        <v>240</v>
      </c>
      <c r="F40" s="575">
        <f>'ведом. 2025-2027'!AD571</f>
        <v>3285.4</v>
      </c>
      <c r="G40" s="441"/>
      <c r="H40" s="460">
        <f>'ведом. 2025-2027'!AE571</f>
        <v>1849.9</v>
      </c>
      <c r="I40" s="583"/>
      <c r="J40" s="575">
        <f>'ведом. 2025-2027'!AF571</f>
        <v>1849.9</v>
      </c>
      <c r="K40" s="441"/>
      <c r="L40" s="114"/>
      <c r="N40" s="114"/>
      <c r="O40" s="114"/>
    </row>
    <row r="41" spans="1:15" s="103" customFormat="1" ht="47.25" x14ac:dyDescent="0.25">
      <c r="A41" s="252" t="s">
        <v>288</v>
      </c>
      <c r="B41" s="132" t="s">
        <v>28</v>
      </c>
      <c r="C41" s="331" t="s">
        <v>6</v>
      </c>
      <c r="D41" s="116" t="s">
        <v>286</v>
      </c>
      <c r="E41" s="334"/>
      <c r="F41" s="575">
        <f>F42</f>
        <v>5228</v>
      </c>
      <c r="G41" s="441"/>
      <c r="H41" s="460">
        <f>H42</f>
        <v>4779.1000000000004</v>
      </c>
      <c r="I41" s="583"/>
      <c r="J41" s="575">
        <f>J42</f>
        <v>4779.1000000000004</v>
      </c>
      <c r="K41" s="441"/>
      <c r="L41" s="114"/>
      <c r="N41" s="114"/>
      <c r="O41" s="114"/>
    </row>
    <row r="42" spans="1:15" s="103" customFormat="1" ht="47.25" x14ac:dyDescent="0.25">
      <c r="A42" s="252" t="s">
        <v>40</v>
      </c>
      <c r="B42" s="132" t="s">
        <v>28</v>
      </c>
      <c r="C42" s="331" t="s">
        <v>6</v>
      </c>
      <c r="D42" s="116" t="s">
        <v>286</v>
      </c>
      <c r="E42" s="205">
        <v>100</v>
      </c>
      <c r="F42" s="575">
        <f>F43</f>
        <v>5228</v>
      </c>
      <c r="G42" s="441"/>
      <c r="H42" s="460">
        <f>H43</f>
        <v>4779.1000000000004</v>
      </c>
      <c r="I42" s="583"/>
      <c r="J42" s="575">
        <f>J43</f>
        <v>4779.1000000000004</v>
      </c>
      <c r="K42" s="441"/>
      <c r="L42" s="114"/>
      <c r="N42" s="114"/>
      <c r="O42" s="114"/>
    </row>
    <row r="43" spans="1:15" s="103" customFormat="1" x14ac:dyDescent="0.25">
      <c r="A43" s="252" t="s">
        <v>94</v>
      </c>
      <c r="B43" s="132" t="s">
        <v>28</v>
      </c>
      <c r="C43" s="331" t="s">
        <v>6</v>
      </c>
      <c r="D43" s="116" t="s">
        <v>286</v>
      </c>
      <c r="E43" s="334">
        <v>120</v>
      </c>
      <c r="F43" s="575">
        <f>'ведом. 2025-2027'!AD574</f>
        <v>5228</v>
      </c>
      <c r="G43" s="441"/>
      <c r="H43" s="460">
        <f>'ведом. 2025-2027'!AE574</f>
        <v>4779.1000000000004</v>
      </c>
      <c r="I43" s="583"/>
      <c r="J43" s="575">
        <f>'ведом. 2025-2027'!AF574</f>
        <v>4779.1000000000004</v>
      </c>
      <c r="K43" s="441"/>
      <c r="L43" s="114"/>
      <c r="N43" s="114"/>
      <c r="O43" s="114"/>
    </row>
    <row r="44" spans="1:15" s="103" customFormat="1" ht="31.5" x14ac:dyDescent="0.25">
      <c r="A44" s="252" t="s">
        <v>289</v>
      </c>
      <c r="B44" s="132" t="s">
        <v>28</v>
      </c>
      <c r="C44" s="331" t="s">
        <v>6</v>
      </c>
      <c r="D44" s="116" t="s">
        <v>287</v>
      </c>
      <c r="E44" s="334"/>
      <c r="F44" s="575">
        <f>F45</f>
        <v>4896.3999999999996</v>
      </c>
      <c r="G44" s="441"/>
      <c r="H44" s="460">
        <f>H45</f>
        <v>4896.3999999999996</v>
      </c>
      <c r="I44" s="583"/>
      <c r="J44" s="575">
        <f>J45</f>
        <v>4896.3999999999996</v>
      </c>
      <c r="K44" s="441"/>
      <c r="L44" s="114"/>
      <c r="N44" s="114"/>
      <c r="O44" s="114"/>
    </row>
    <row r="45" spans="1:15" s="103" customFormat="1" ht="47.25" x14ac:dyDescent="0.25">
      <c r="A45" s="252" t="s">
        <v>40</v>
      </c>
      <c r="B45" s="132" t="s">
        <v>28</v>
      </c>
      <c r="C45" s="331" t="s">
        <v>6</v>
      </c>
      <c r="D45" s="116" t="s">
        <v>287</v>
      </c>
      <c r="E45" s="205">
        <v>100</v>
      </c>
      <c r="F45" s="575">
        <f>F46</f>
        <v>4896.3999999999996</v>
      </c>
      <c r="G45" s="441"/>
      <c r="H45" s="460">
        <f>H46</f>
        <v>4896.3999999999996</v>
      </c>
      <c r="I45" s="583"/>
      <c r="J45" s="575">
        <f>J46</f>
        <v>4896.3999999999996</v>
      </c>
      <c r="K45" s="441"/>
      <c r="L45" s="114"/>
      <c r="N45" s="114"/>
      <c r="O45" s="114"/>
    </row>
    <row r="46" spans="1:15" s="103" customFormat="1" x14ac:dyDescent="0.25">
      <c r="A46" s="252" t="s">
        <v>94</v>
      </c>
      <c r="B46" s="132" t="s">
        <v>28</v>
      </c>
      <c r="C46" s="331" t="s">
        <v>6</v>
      </c>
      <c r="D46" s="116" t="s">
        <v>287</v>
      </c>
      <c r="E46" s="334">
        <v>120</v>
      </c>
      <c r="F46" s="575">
        <f>'ведом. 2025-2027'!AD577</f>
        <v>4896.3999999999996</v>
      </c>
      <c r="G46" s="441"/>
      <c r="H46" s="460">
        <f>'ведом. 2025-2027'!AE577</f>
        <v>4896.3999999999996</v>
      </c>
      <c r="I46" s="583"/>
      <c r="J46" s="575">
        <f>'ведом. 2025-2027'!AF577</f>
        <v>4896.3999999999996</v>
      </c>
      <c r="K46" s="441"/>
      <c r="L46" s="114"/>
      <c r="N46" s="114"/>
      <c r="O46" s="114"/>
    </row>
    <row r="47" spans="1:15" s="103" customFormat="1" ht="31.5" x14ac:dyDescent="0.25">
      <c r="A47" s="294" t="s">
        <v>689</v>
      </c>
      <c r="B47" s="132" t="s">
        <v>28</v>
      </c>
      <c r="C47" s="331" t="s">
        <v>48</v>
      </c>
      <c r="D47" s="21"/>
      <c r="E47" s="205"/>
      <c r="F47" s="575">
        <f>F48+F77+F56+F83</f>
        <v>134458.09999999998</v>
      </c>
      <c r="G47" s="441">
        <f t="shared" ref="G47:K47" si="2">G48+G77+G56+G83</f>
        <v>11898.5</v>
      </c>
      <c r="H47" s="460">
        <f t="shared" si="2"/>
        <v>100872</v>
      </c>
      <c r="I47" s="583">
        <f t="shared" si="2"/>
        <v>5206</v>
      </c>
      <c r="J47" s="575">
        <f t="shared" si="2"/>
        <v>100785</v>
      </c>
      <c r="K47" s="441">
        <f t="shared" si="2"/>
        <v>5236</v>
      </c>
      <c r="L47" s="114"/>
      <c r="N47" s="114"/>
      <c r="O47" s="114"/>
    </row>
    <row r="48" spans="1:15" s="103" customFormat="1" x14ac:dyDescent="0.25">
      <c r="A48" s="182" t="s">
        <v>290</v>
      </c>
      <c r="B48" s="132" t="s">
        <v>28</v>
      </c>
      <c r="C48" s="331" t="s">
        <v>48</v>
      </c>
      <c r="D48" s="21" t="s">
        <v>107</v>
      </c>
      <c r="E48" s="334"/>
      <c r="F48" s="575">
        <f>F49</f>
        <v>5178</v>
      </c>
      <c r="G48" s="441">
        <f t="shared" ref="G48:K48" si="3">G49</f>
        <v>5178</v>
      </c>
      <c r="H48" s="460">
        <f t="shared" si="3"/>
        <v>5206</v>
      </c>
      <c r="I48" s="583">
        <f t="shared" si="3"/>
        <v>5206</v>
      </c>
      <c r="J48" s="575">
        <f t="shared" si="3"/>
        <v>5236</v>
      </c>
      <c r="K48" s="441">
        <f t="shared" si="3"/>
        <v>5236</v>
      </c>
      <c r="L48" s="114"/>
      <c r="N48" s="114"/>
      <c r="O48" s="114"/>
    </row>
    <row r="49" spans="1:15" s="103" customFormat="1" x14ac:dyDescent="0.25">
      <c r="A49" s="182" t="s">
        <v>47</v>
      </c>
      <c r="B49" s="132" t="s">
        <v>28</v>
      </c>
      <c r="C49" s="331" t="s">
        <v>48</v>
      </c>
      <c r="D49" s="21" t="s">
        <v>396</v>
      </c>
      <c r="E49" s="334"/>
      <c r="F49" s="575">
        <f t="shared" ref="F49:K50" si="4">F50</f>
        <v>5178</v>
      </c>
      <c r="G49" s="441">
        <f t="shared" si="4"/>
        <v>5178</v>
      </c>
      <c r="H49" s="460">
        <f t="shared" si="4"/>
        <v>5206</v>
      </c>
      <c r="I49" s="583">
        <f t="shared" si="4"/>
        <v>5206</v>
      </c>
      <c r="J49" s="575">
        <f t="shared" si="4"/>
        <v>5236</v>
      </c>
      <c r="K49" s="441">
        <f t="shared" si="4"/>
        <v>5236</v>
      </c>
      <c r="L49" s="114"/>
      <c r="N49" s="114"/>
      <c r="O49" s="114"/>
    </row>
    <row r="50" spans="1:15" s="103" customFormat="1" ht="47.25" x14ac:dyDescent="0.25">
      <c r="A50" s="182" t="s">
        <v>514</v>
      </c>
      <c r="B50" s="132" t="s">
        <v>28</v>
      </c>
      <c r="C50" s="331" t="s">
        <v>48</v>
      </c>
      <c r="D50" s="21" t="s">
        <v>513</v>
      </c>
      <c r="E50" s="334"/>
      <c r="F50" s="575">
        <f t="shared" si="4"/>
        <v>5178</v>
      </c>
      <c r="G50" s="441">
        <f t="shared" si="4"/>
        <v>5178</v>
      </c>
      <c r="H50" s="460">
        <f t="shared" si="4"/>
        <v>5206</v>
      </c>
      <c r="I50" s="583">
        <f t="shared" si="4"/>
        <v>5206</v>
      </c>
      <c r="J50" s="575">
        <f t="shared" si="4"/>
        <v>5236</v>
      </c>
      <c r="K50" s="441">
        <f t="shared" si="4"/>
        <v>5236</v>
      </c>
      <c r="L50" s="114"/>
      <c r="N50" s="114"/>
      <c r="O50" s="114"/>
    </row>
    <row r="51" spans="1:15" s="103" customFormat="1" ht="47.25" x14ac:dyDescent="0.25">
      <c r="A51" s="252" t="s">
        <v>353</v>
      </c>
      <c r="B51" s="132" t="s">
        <v>28</v>
      </c>
      <c r="C51" s="331" t="s">
        <v>48</v>
      </c>
      <c r="D51" s="21" t="s">
        <v>515</v>
      </c>
      <c r="E51" s="334"/>
      <c r="F51" s="575">
        <f t="shared" ref="F51:K51" si="5">F52+F54</f>
        <v>5178</v>
      </c>
      <c r="G51" s="441">
        <f t="shared" si="5"/>
        <v>5178</v>
      </c>
      <c r="H51" s="460">
        <f t="shared" si="5"/>
        <v>5206</v>
      </c>
      <c r="I51" s="583">
        <f t="shared" si="5"/>
        <v>5206</v>
      </c>
      <c r="J51" s="575">
        <f t="shared" si="5"/>
        <v>5236</v>
      </c>
      <c r="K51" s="441">
        <f t="shared" si="5"/>
        <v>5236</v>
      </c>
      <c r="L51" s="114"/>
      <c r="N51" s="114"/>
      <c r="O51" s="114"/>
    </row>
    <row r="52" spans="1:15" s="103" customFormat="1" ht="47.25" x14ac:dyDescent="0.25">
      <c r="A52" s="255" t="s">
        <v>40</v>
      </c>
      <c r="B52" s="132" t="s">
        <v>28</v>
      </c>
      <c r="C52" s="331" t="s">
        <v>48</v>
      </c>
      <c r="D52" s="21" t="s">
        <v>515</v>
      </c>
      <c r="E52" s="205">
        <v>100</v>
      </c>
      <c r="F52" s="575">
        <f t="shared" ref="F52:K52" si="6">F53</f>
        <v>4651.3999999999996</v>
      </c>
      <c r="G52" s="441">
        <f t="shared" si="6"/>
        <v>4651.3999999999996</v>
      </c>
      <c r="H52" s="460">
        <f t="shared" si="6"/>
        <v>4659.6000000000004</v>
      </c>
      <c r="I52" s="583">
        <f t="shared" si="6"/>
        <v>4659.6000000000004</v>
      </c>
      <c r="J52" s="575">
        <f t="shared" si="6"/>
        <v>4669.1000000000004</v>
      </c>
      <c r="K52" s="441">
        <f t="shared" si="6"/>
        <v>4669.1000000000004</v>
      </c>
      <c r="L52" s="114"/>
      <c r="N52" s="114"/>
      <c r="O52" s="114"/>
    </row>
    <row r="53" spans="1:15" s="103" customFormat="1" x14ac:dyDescent="0.25">
      <c r="A53" s="255" t="s">
        <v>94</v>
      </c>
      <c r="B53" s="132" t="s">
        <v>28</v>
      </c>
      <c r="C53" s="331" t="s">
        <v>48</v>
      </c>
      <c r="D53" s="21" t="s">
        <v>515</v>
      </c>
      <c r="E53" s="334">
        <v>120</v>
      </c>
      <c r="F53" s="575">
        <f>'ведом. 2025-2027'!AD27</f>
        <v>4651.3999999999996</v>
      </c>
      <c r="G53" s="441">
        <f>F53</f>
        <v>4651.3999999999996</v>
      </c>
      <c r="H53" s="460">
        <f>'ведом. 2025-2027'!AE27</f>
        <v>4659.6000000000004</v>
      </c>
      <c r="I53" s="583">
        <f>H53</f>
        <v>4659.6000000000004</v>
      </c>
      <c r="J53" s="575">
        <f>'ведом. 2025-2027'!AF27</f>
        <v>4669.1000000000004</v>
      </c>
      <c r="K53" s="441">
        <f>J53</f>
        <v>4669.1000000000004</v>
      </c>
      <c r="L53" s="114"/>
      <c r="N53" s="114"/>
      <c r="O53" s="114"/>
    </row>
    <row r="54" spans="1:15" s="103" customFormat="1" x14ac:dyDescent="0.25">
      <c r="A54" s="255" t="s">
        <v>118</v>
      </c>
      <c r="B54" s="132" t="s">
        <v>28</v>
      </c>
      <c r="C54" s="331" t="s">
        <v>48</v>
      </c>
      <c r="D54" s="21" t="s">
        <v>515</v>
      </c>
      <c r="E54" s="334">
        <v>200</v>
      </c>
      <c r="F54" s="575">
        <f t="shared" ref="F54:K54" si="7">F55</f>
        <v>526.6</v>
      </c>
      <c r="G54" s="441">
        <f t="shared" si="7"/>
        <v>526.6</v>
      </c>
      <c r="H54" s="460">
        <f t="shared" si="7"/>
        <v>546.4</v>
      </c>
      <c r="I54" s="583">
        <f t="shared" si="7"/>
        <v>546.4</v>
      </c>
      <c r="J54" s="575">
        <f t="shared" si="7"/>
        <v>566.9</v>
      </c>
      <c r="K54" s="441">
        <f t="shared" si="7"/>
        <v>566.9</v>
      </c>
      <c r="L54" s="114"/>
      <c r="N54" s="114"/>
      <c r="O54" s="114"/>
    </row>
    <row r="55" spans="1:15" s="103" customFormat="1" ht="31.5" x14ac:dyDescent="0.25">
      <c r="A55" s="255" t="s">
        <v>51</v>
      </c>
      <c r="B55" s="132" t="s">
        <v>28</v>
      </c>
      <c r="C55" s="331" t="s">
        <v>48</v>
      </c>
      <c r="D55" s="21" t="s">
        <v>515</v>
      </c>
      <c r="E55" s="334">
        <v>240</v>
      </c>
      <c r="F55" s="575">
        <f>'ведом. 2025-2027'!AD29</f>
        <v>526.6</v>
      </c>
      <c r="G55" s="441">
        <f>F55</f>
        <v>526.6</v>
      </c>
      <c r="H55" s="460">
        <f>'ведом. 2025-2027'!AE29</f>
        <v>546.4</v>
      </c>
      <c r="I55" s="583">
        <f>H55</f>
        <v>546.4</v>
      </c>
      <c r="J55" s="575">
        <f>'ведом. 2025-2027'!AF29</f>
        <v>566.9</v>
      </c>
      <c r="K55" s="441">
        <f>J55</f>
        <v>566.9</v>
      </c>
      <c r="L55" s="114"/>
      <c r="N55" s="114"/>
      <c r="O55" s="114"/>
    </row>
    <row r="56" spans="1:15" s="103" customFormat="1" x14ac:dyDescent="0.25">
      <c r="A56" s="182" t="s">
        <v>184</v>
      </c>
      <c r="B56" s="132" t="s">
        <v>28</v>
      </c>
      <c r="C56" s="331" t="s">
        <v>48</v>
      </c>
      <c r="D56" s="116" t="s">
        <v>110</v>
      </c>
      <c r="E56" s="334"/>
      <c r="F56" s="575">
        <f>F57</f>
        <v>112901.2</v>
      </c>
      <c r="G56" s="441"/>
      <c r="H56" s="460">
        <f>H57</f>
        <v>92666</v>
      </c>
      <c r="I56" s="583"/>
      <c r="J56" s="575">
        <f>J57</f>
        <v>92549</v>
      </c>
      <c r="K56" s="441"/>
      <c r="L56" s="114"/>
      <c r="N56" s="114"/>
      <c r="O56" s="114"/>
    </row>
    <row r="57" spans="1:15" s="103" customFormat="1" x14ac:dyDescent="0.25">
      <c r="A57" s="182" t="s">
        <v>187</v>
      </c>
      <c r="B57" s="132" t="s">
        <v>28</v>
      </c>
      <c r="C57" s="331" t="s">
        <v>48</v>
      </c>
      <c r="D57" s="116" t="s">
        <v>188</v>
      </c>
      <c r="E57" s="334"/>
      <c r="F57" s="575">
        <f>F58+F73</f>
        <v>112901.2</v>
      </c>
      <c r="G57" s="441"/>
      <c r="H57" s="460">
        <f>H58+H73</f>
        <v>92666</v>
      </c>
      <c r="I57" s="583"/>
      <c r="J57" s="575">
        <f>J58+J73</f>
        <v>92549</v>
      </c>
      <c r="K57" s="441"/>
      <c r="L57" s="114"/>
      <c r="N57" s="114"/>
      <c r="O57" s="114"/>
    </row>
    <row r="58" spans="1:15" s="103" customFormat="1" ht="31.5" x14ac:dyDescent="0.25">
      <c r="A58" s="182" t="s">
        <v>189</v>
      </c>
      <c r="B58" s="132" t="s">
        <v>28</v>
      </c>
      <c r="C58" s="331" t="s">
        <v>48</v>
      </c>
      <c r="D58" s="116" t="s">
        <v>190</v>
      </c>
      <c r="E58" s="334"/>
      <c r="F58" s="575">
        <f>F59</f>
        <v>112400.2</v>
      </c>
      <c r="G58" s="441"/>
      <c r="H58" s="460">
        <f>H59</f>
        <v>92283</v>
      </c>
      <c r="I58" s="583"/>
      <c r="J58" s="575">
        <f>J59</f>
        <v>92283</v>
      </c>
      <c r="K58" s="441"/>
      <c r="L58" s="114"/>
      <c r="N58" s="114"/>
      <c r="O58" s="114"/>
    </row>
    <row r="59" spans="1:15" s="103" customFormat="1" x14ac:dyDescent="0.25">
      <c r="A59" s="182" t="s">
        <v>193</v>
      </c>
      <c r="B59" s="132" t="s">
        <v>28</v>
      </c>
      <c r="C59" s="331" t="s">
        <v>48</v>
      </c>
      <c r="D59" s="116" t="s">
        <v>194</v>
      </c>
      <c r="E59" s="334"/>
      <c r="F59" s="575">
        <f>F60+F67+F70</f>
        <v>112400.2</v>
      </c>
      <c r="G59" s="441"/>
      <c r="H59" s="460">
        <f>H60+H67+H70</f>
        <v>92283</v>
      </c>
      <c r="I59" s="583"/>
      <c r="J59" s="575">
        <f>J60+J67+J70</f>
        <v>92283</v>
      </c>
      <c r="K59" s="441"/>
      <c r="L59" s="114"/>
      <c r="N59" s="114"/>
      <c r="O59" s="114"/>
    </row>
    <row r="60" spans="1:15" s="103" customFormat="1" ht="31.5" x14ac:dyDescent="0.25">
      <c r="A60" s="252" t="s">
        <v>195</v>
      </c>
      <c r="B60" s="126" t="s">
        <v>28</v>
      </c>
      <c r="C60" s="129" t="s">
        <v>48</v>
      </c>
      <c r="D60" s="116" t="s">
        <v>196</v>
      </c>
      <c r="E60" s="334"/>
      <c r="F60" s="575">
        <f>F63+F61+F65</f>
        <v>11341.099999999999</v>
      </c>
      <c r="G60" s="441"/>
      <c r="H60" s="460">
        <f>H63+H61+H65</f>
        <v>9487.2999999999993</v>
      </c>
      <c r="I60" s="583"/>
      <c r="J60" s="575">
        <f>J63+J61+J65</f>
        <v>9487.2999999999993</v>
      </c>
      <c r="K60" s="441"/>
      <c r="L60" s="114"/>
      <c r="N60" s="114"/>
      <c r="O60" s="114"/>
    </row>
    <row r="61" spans="1:15" s="103" customFormat="1" ht="47.25" x14ac:dyDescent="0.25">
      <c r="A61" s="252" t="s">
        <v>40</v>
      </c>
      <c r="B61" s="132" t="s">
        <v>28</v>
      </c>
      <c r="C61" s="331" t="s">
        <v>48</v>
      </c>
      <c r="D61" s="116" t="s">
        <v>196</v>
      </c>
      <c r="E61" s="205">
        <v>100</v>
      </c>
      <c r="F61" s="575">
        <f>F62</f>
        <v>50</v>
      </c>
      <c r="G61" s="441"/>
      <c r="H61" s="460">
        <f>H62</f>
        <v>50</v>
      </c>
      <c r="I61" s="583"/>
      <c r="J61" s="575">
        <f>J62</f>
        <v>50</v>
      </c>
      <c r="K61" s="441"/>
      <c r="L61" s="114"/>
      <c r="N61" s="114"/>
      <c r="O61" s="114"/>
    </row>
    <row r="62" spans="1:15" s="103" customFormat="1" x14ac:dyDescent="0.25">
      <c r="A62" s="252" t="s">
        <v>94</v>
      </c>
      <c r="B62" s="132" t="s">
        <v>28</v>
      </c>
      <c r="C62" s="331" t="s">
        <v>48</v>
      </c>
      <c r="D62" s="116" t="s">
        <v>196</v>
      </c>
      <c r="E62" s="334">
        <v>120</v>
      </c>
      <c r="F62" s="575">
        <f>'ведом. 2025-2027'!AD36</f>
        <v>50</v>
      </c>
      <c r="G62" s="441"/>
      <c r="H62" s="460">
        <f>'ведом. 2025-2027'!AE36</f>
        <v>50</v>
      </c>
      <c r="I62" s="583"/>
      <c r="J62" s="575">
        <f>'ведом. 2025-2027'!AF36</f>
        <v>50</v>
      </c>
      <c r="K62" s="441"/>
      <c r="L62" s="114"/>
      <c r="N62" s="114"/>
      <c r="O62" s="114"/>
    </row>
    <row r="63" spans="1:15" s="103" customFormat="1" x14ac:dyDescent="0.25">
      <c r="A63" s="252" t="s">
        <v>118</v>
      </c>
      <c r="B63" s="132" t="s">
        <v>28</v>
      </c>
      <c r="C63" s="331" t="s">
        <v>48</v>
      </c>
      <c r="D63" s="116" t="s">
        <v>196</v>
      </c>
      <c r="E63" s="334">
        <v>200</v>
      </c>
      <c r="F63" s="575">
        <f>F64</f>
        <v>11290.899999999998</v>
      </c>
      <c r="G63" s="441"/>
      <c r="H63" s="460">
        <f>H64</f>
        <v>9437.2999999999993</v>
      </c>
      <c r="I63" s="583"/>
      <c r="J63" s="575">
        <f>J64</f>
        <v>9437.2999999999993</v>
      </c>
      <c r="K63" s="441"/>
      <c r="L63" s="114"/>
      <c r="N63" s="114"/>
      <c r="O63" s="114"/>
    </row>
    <row r="64" spans="1:15" s="103" customFormat="1" ht="31.5" x14ac:dyDescent="0.25">
      <c r="A64" s="252" t="s">
        <v>51</v>
      </c>
      <c r="B64" s="132" t="s">
        <v>28</v>
      </c>
      <c r="C64" s="331" t="s">
        <v>48</v>
      </c>
      <c r="D64" s="116" t="s">
        <v>196</v>
      </c>
      <c r="E64" s="334">
        <v>240</v>
      </c>
      <c r="F64" s="575">
        <f>'ведом. 2025-2027'!AD38</f>
        <v>11290.899999999998</v>
      </c>
      <c r="G64" s="441"/>
      <c r="H64" s="460">
        <f>'ведом. 2025-2027'!AE38</f>
        <v>9437.2999999999993</v>
      </c>
      <c r="I64" s="583"/>
      <c r="J64" s="575">
        <f>'ведом. 2025-2027'!AF38</f>
        <v>9437.2999999999993</v>
      </c>
      <c r="K64" s="441"/>
      <c r="L64" s="114"/>
      <c r="N64" s="114"/>
      <c r="O64" s="114"/>
    </row>
    <row r="65" spans="1:15" s="103" customFormat="1" x14ac:dyDescent="0.25">
      <c r="A65" s="294" t="s">
        <v>41</v>
      </c>
      <c r="B65" s="132" t="s">
        <v>28</v>
      </c>
      <c r="C65" s="331" t="s">
        <v>48</v>
      </c>
      <c r="D65" s="116" t="s">
        <v>196</v>
      </c>
      <c r="E65" s="334">
        <v>800</v>
      </c>
      <c r="F65" s="575">
        <f>F66</f>
        <v>0.2</v>
      </c>
      <c r="G65" s="441"/>
      <c r="H65" s="460">
        <f>H66</f>
        <v>0</v>
      </c>
      <c r="I65" s="583"/>
      <c r="J65" s="575">
        <f>J66</f>
        <v>0</v>
      </c>
      <c r="K65" s="441"/>
      <c r="L65" s="114"/>
      <c r="N65" s="114"/>
      <c r="O65" s="114"/>
    </row>
    <row r="66" spans="1:15" s="103" customFormat="1" x14ac:dyDescent="0.25">
      <c r="A66" s="294" t="s">
        <v>56</v>
      </c>
      <c r="B66" s="132" t="s">
        <v>28</v>
      </c>
      <c r="C66" s="331" t="s">
        <v>48</v>
      </c>
      <c r="D66" s="116" t="s">
        <v>196</v>
      </c>
      <c r="E66" s="334">
        <v>850</v>
      </c>
      <c r="F66" s="575">
        <f>'ведом. 2025-2027'!AD40</f>
        <v>0.2</v>
      </c>
      <c r="G66" s="441"/>
      <c r="H66" s="460">
        <f>'ведом. 2025-2027'!AE40</f>
        <v>0</v>
      </c>
      <c r="I66" s="583"/>
      <c r="J66" s="575">
        <f>'ведом. 2025-2027'!AF40</f>
        <v>0</v>
      </c>
      <c r="K66" s="441"/>
      <c r="L66" s="114"/>
      <c r="N66" s="114"/>
      <c r="O66" s="114"/>
    </row>
    <row r="67" spans="1:15" s="103" customFormat="1" ht="31.5" x14ac:dyDescent="0.25">
      <c r="A67" s="252" t="s">
        <v>197</v>
      </c>
      <c r="B67" s="132" t="s">
        <v>28</v>
      </c>
      <c r="C67" s="331" t="s">
        <v>48</v>
      </c>
      <c r="D67" s="116" t="s">
        <v>198</v>
      </c>
      <c r="E67" s="205"/>
      <c r="F67" s="575">
        <f>F68</f>
        <v>28421.4</v>
      </c>
      <c r="G67" s="441"/>
      <c r="H67" s="460">
        <f>H68</f>
        <v>28421.4</v>
      </c>
      <c r="I67" s="583"/>
      <c r="J67" s="575">
        <f>J68</f>
        <v>28421.4</v>
      </c>
      <c r="K67" s="441"/>
      <c r="L67" s="114"/>
      <c r="N67" s="114"/>
      <c r="O67" s="114"/>
    </row>
    <row r="68" spans="1:15" s="103" customFormat="1" ht="47.25" x14ac:dyDescent="0.25">
      <c r="A68" s="252" t="s">
        <v>40</v>
      </c>
      <c r="B68" s="132" t="s">
        <v>28</v>
      </c>
      <c r="C68" s="331" t="s">
        <v>48</v>
      </c>
      <c r="D68" s="116" t="s">
        <v>198</v>
      </c>
      <c r="E68" s="205">
        <v>100</v>
      </c>
      <c r="F68" s="575">
        <f>F69</f>
        <v>28421.4</v>
      </c>
      <c r="G68" s="441"/>
      <c r="H68" s="460">
        <f>H69</f>
        <v>28421.4</v>
      </c>
      <c r="I68" s="583"/>
      <c r="J68" s="575">
        <f>J69</f>
        <v>28421.4</v>
      </c>
      <c r="K68" s="441"/>
      <c r="L68" s="114"/>
      <c r="N68" s="114"/>
      <c r="O68" s="114"/>
    </row>
    <row r="69" spans="1:15" s="103" customFormat="1" x14ac:dyDescent="0.25">
      <c r="A69" s="252" t="s">
        <v>94</v>
      </c>
      <c r="B69" s="132" t="s">
        <v>28</v>
      </c>
      <c r="C69" s="331" t="s">
        <v>48</v>
      </c>
      <c r="D69" s="116" t="s">
        <v>198</v>
      </c>
      <c r="E69" s="334">
        <v>120</v>
      </c>
      <c r="F69" s="575">
        <f>'ведом. 2025-2027'!AD43</f>
        <v>28421.4</v>
      </c>
      <c r="G69" s="441"/>
      <c r="H69" s="460">
        <f>'ведом. 2025-2027'!AE43</f>
        <v>28421.4</v>
      </c>
      <c r="I69" s="583"/>
      <c r="J69" s="575">
        <f>'ведом. 2025-2027'!AF43</f>
        <v>28421.4</v>
      </c>
      <c r="K69" s="441"/>
      <c r="L69" s="114"/>
      <c r="N69" s="114"/>
      <c r="O69" s="114"/>
    </row>
    <row r="70" spans="1:15" s="103" customFormat="1" ht="31.5" x14ac:dyDescent="0.25">
      <c r="A70" s="252" t="s">
        <v>199</v>
      </c>
      <c r="B70" s="132" t="s">
        <v>28</v>
      </c>
      <c r="C70" s="331" t="s">
        <v>48</v>
      </c>
      <c r="D70" s="116" t="s">
        <v>200</v>
      </c>
      <c r="E70" s="205"/>
      <c r="F70" s="575">
        <f>F71</f>
        <v>72637.7</v>
      </c>
      <c r="G70" s="441"/>
      <c r="H70" s="460">
        <f>H71</f>
        <v>54374.3</v>
      </c>
      <c r="I70" s="583"/>
      <c r="J70" s="575">
        <f>J71</f>
        <v>54374.3</v>
      </c>
      <c r="K70" s="441"/>
      <c r="L70" s="114"/>
      <c r="N70" s="114"/>
      <c r="O70" s="114"/>
    </row>
    <row r="71" spans="1:15" s="103" customFormat="1" ht="47.25" x14ac:dyDescent="0.25">
      <c r="A71" s="252" t="s">
        <v>40</v>
      </c>
      <c r="B71" s="132" t="s">
        <v>28</v>
      </c>
      <c r="C71" s="331" t="s">
        <v>48</v>
      </c>
      <c r="D71" s="116" t="s">
        <v>200</v>
      </c>
      <c r="E71" s="205">
        <v>100</v>
      </c>
      <c r="F71" s="575">
        <f>F72</f>
        <v>72637.7</v>
      </c>
      <c r="G71" s="441"/>
      <c r="H71" s="460">
        <f>H72</f>
        <v>54374.3</v>
      </c>
      <c r="I71" s="583"/>
      <c r="J71" s="575">
        <f>J72</f>
        <v>54374.3</v>
      </c>
      <c r="K71" s="441"/>
      <c r="L71" s="114"/>
      <c r="N71" s="114"/>
      <c r="O71" s="114"/>
    </row>
    <row r="72" spans="1:15" s="103" customFormat="1" x14ac:dyDescent="0.25">
      <c r="A72" s="252" t="s">
        <v>94</v>
      </c>
      <c r="B72" s="132" t="s">
        <v>28</v>
      </c>
      <c r="C72" s="331" t="s">
        <v>48</v>
      </c>
      <c r="D72" s="116" t="s">
        <v>200</v>
      </c>
      <c r="E72" s="334">
        <v>120</v>
      </c>
      <c r="F72" s="575">
        <f>'ведом. 2025-2027'!AD46</f>
        <v>72637.7</v>
      </c>
      <c r="G72" s="441"/>
      <c r="H72" s="460">
        <f>'ведом. 2025-2027'!AE46</f>
        <v>54374.3</v>
      </c>
      <c r="I72" s="583"/>
      <c r="J72" s="575">
        <f>'ведом. 2025-2027'!AF46</f>
        <v>54374.3</v>
      </c>
      <c r="K72" s="441"/>
      <c r="L72" s="114"/>
      <c r="N72" s="114"/>
      <c r="O72" s="114"/>
    </row>
    <row r="73" spans="1:15" s="103" customFormat="1" ht="31.5" x14ac:dyDescent="0.25">
      <c r="A73" s="255" t="s">
        <v>529</v>
      </c>
      <c r="B73" s="132" t="s">
        <v>28</v>
      </c>
      <c r="C73" s="331" t="s">
        <v>48</v>
      </c>
      <c r="D73" s="203" t="s">
        <v>530</v>
      </c>
      <c r="E73" s="334"/>
      <c r="F73" s="575">
        <f>F74</f>
        <v>501</v>
      </c>
      <c r="G73" s="441"/>
      <c r="H73" s="460">
        <f t="shared" ref="H73:J74" si="8">H74</f>
        <v>383</v>
      </c>
      <c r="I73" s="583"/>
      <c r="J73" s="575">
        <f t="shared" si="8"/>
        <v>266</v>
      </c>
      <c r="K73" s="441"/>
      <c r="L73" s="114"/>
      <c r="N73" s="114"/>
      <c r="O73" s="114"/>
    </row>
    <row r="74" spans="1:15" s="103" customFormat="1" ht="78.75" x14ac:dyDescent="0.25">
      <c r="A74" s="255" t="s">
        <v>401</v>
      </c>
      <c r="B74" s="132" t="s">
        <v>28</v>
      </c>
      <c r="C74" s="331" t="s">
        <v>48</v>
      </c>
      <c r="D74" s="116" t="s">
        <v>531</v>
      </c>
      <c r="E74" s="334"/>
      <c r="F74" s="575">
        <f>F75</f>
        <v>501</v>
      </c>
      <c r="G74" s="441"/>
      <c r="H74" s="460">
        <f t="shared" si="8"/>
        <v>383</v>
      </c>
      <c r="I74" s="583"/>
      <c r="J74" s="575">
        <f t="shared" si="8"/>
        <v>266</v>
      </c>
      <c r="K74" s="441"/>
      <c r="L74" s="114"/>
      <c r="N74" s="114"/>
      <c r="O74" s="114"/>
    </row>
    <row r="75" spans="1:15" s="103" customFormat="1" x14ac:dyDescent="0.25">
      <c r="A75" s="255" t="s">
        <v>118</v>
      </c>
      <c r="B75" s="132" t="s">
        <v>28</v>
      </c>
      <c r="C75" s="331" t="s">
        <v>48</v>
      </c>
      <c r="D75" s="116" t="s">
        <v>531</v>
      </c>
      <c r="E75" s="334">
        <v>200</v>
      </c>
      <c r="F75" s="575">
        <f>F76</f>
        <v>501</v>
      </c>
      <c r="G75" s="441"/>
      <c r="H75" s="460">
        <f>H76</f>
        <v>383</v>
      </c>
      <c r="I75" s="583"/>
      <c r="J75" s="575">
        <f>J76</f>
        <v>266</v>
      </c>
      <c r="K75" s="441"/>
      <c r="L75" s="114"/>
      <c r="N75" s="114"/>
      <c r="O75" s="114"/>
    </row>
    <row r="76" spans="1:15" s="103" customFormat="1" ht="31.5" x14ac:dyDescent="0.25">
      <c r="A76" s="255" t="s">
        <v>51</v>
      </c>
      <c r="B76" s="132" t="s">
        <v>28</v>
      </c>
      <c r="C76" s="331" t="s">
        <v>48</v>
      </c>
      <c r="D76" s="116" t="s">
        <v>531</v>
      </c>
      <c r="E76" s="334">
        <v>240</v>
      </c>
      <c r="F76" s="575">
        <f>'ведом. 2025-2027'!AD50</f>
        <v>501</v>
      </c>
      <c r="G76" s="441"/>
      <c r="H76" s="460">
        <f>'ведом. 2025-2027'!AE50</f>
        <v>383</v>
      </c>
      <c r="I76" s="583"/>
      <c r="J76" s="575">
        <f>'ведом. 2025-2027'!AF50</f>
        <v>266</v>
      </c>
      <c r="K76" s="441"/>
      <c r="L76" s="114"/>
      <c r="N76" s="114"/>
      <c r="O76" s="114"/>
    </row>
    <row r="77" spans="1:15" s="103" customFormat="1" ht="31.5" x14ac:dyDescent="0.25">
      <c r="A77" s="182" t="s">
        <v>296</v>
      </c>
      <c r="B77" s="132" t="s">
        <v>28</v>
      </c>
      <c r="C77" s="331" t="s">
        <v>48</v>
      </c>
      <c r="D77" s="116" t="s">
        <v>130</v>
      </c>
      <c r="E77" s="334"/>
      <c r="F77" s="575">
        <f>F78</f>
        <v>9658.4</v>
      </c>
      <c r="G77" s="441"/>
      <c r="H77" s="460">
        <f>H78</f>
        <v>3000</v>
      </c>
      <c r="I77" s="583"/>
      <c r="J77" s="575">
        <f>J78</f>
        <v>3000</v>
      </c>
      <c r="K77" s="441"/>
      <c r="L77" s="114"/>
      <c r="N77" s="114"/>
      <c r="O77" s="114"/>
    </row>
    <row r="78" spans="1:15" s="103" customFormat="1" ht="47.25" x14ac:dyDescent="0.25">
      <c r="A78" s="182" t="s">
        <v>297</v>
      </c>
      <c r="B78" s="132" t="s">
        <v>28</v>
      </c>
      <c r="C78" s="331" t="s">
        <v>48</v>
      </c>
      <c r="D78" s="116" t="s">
        <v>298</v>
      </c>
      <c r="E78" s="334"/>
      <c r="F78" s="575">
        <f>F79</f>
        <v>9658.4</v>
      </c>
      <c r="G78" s="441"/>
      <c r="H78" s="460">
        <f>H79</f>
        <v>3000</v>
      </c>
      <c r="I78" s="583"/>
      <c r="J78" s="575">
        <f>J79</f>
        <v>3000</v>
      </c>
      <c r="K78" s="441"/>
      <c r="L78" s="114"/>
      <c r="N78" s="114"/>
      <c r="O78" s="114"/>
    </row>
    <row r="79" spans="1:15" s="103" customFormat="1" ht="31.5" x14ac:dyDescent="0.25">
      <c r="A79" s="183" t="s">
        <v>299</v>
      </c>
      <c r="B79" s="132" t="s">
        <v>28</v>
      </c>
      <c r="C79" s="331" t="s">
        <v>48</v>
      </c>
      <c r="D79" s="116" t="s">
        <v>300</v>
      </c>
      <c r="E79" s="334"/>
      <c r="F79" s="575">
        <f>F80</f>
        <v>9658.4</v>
      </c>
      <c r="G79" s="441"/>
      <c r="H79" s="460">
        <f>H80</f>
        <v>3000</v>
      </c>
      <c r="I79" s="583"/>
      <c r="J79" s="575">
        <f>J80</f>
        <v>3000</v>
      </c>
      <c r="K79" s="441"/>
      <c r="L79" s="114"/>
      <c r="N79" s="114"/>
      <c r="O79" s="114"/>
    </row>
    <row r="80" spans="1:15" s="103" customFormat="1" ht="94.5" x14ac:dyDescent="0.25">
      <c r="A80" s="183" t="s">
        <v>666</v>
      </c>
      <c r="B80" s="132" t="s">
        <v>28</v>
      </c>
      <c r="C80" s="331" t="s">
        <v>48</v>
      </c>
      <c r="D80" s="203" t="s">
        <v>301</v>
      </c>
      <c r="E80" s="334"/>
      <c r="F80" s="575">
        <f>F81</f>
        <v>9658.4</v>
      </c>
      <c r="G80" s="441"/>
      <c r="H80" s="460">
        <f>H81</f>
        <v>3000</v>
      </c>
      <c r="I80" s="583"/>
      <c r="J80" s="575">
        <f>J81</f>
        <v>3000</v>
      </c>
      <c r="K80" s="441"/>
      <c r="L80" s="114"/>
      <c r="N80" s="114"/>
      <c r="O80" s="114"/>
    </row>
    <row r="81" spans="1:15" s="103" customFormat="1" x14ac:dyDescent="0.25">
      <c r="A81" s="252" t="s">
        <v>118</v>
      </c>
      <c r="B81" s="132" t="s">
        <v>28</v>
      </c>
      <c r="C81" s="331" t="s">
        <v>48</v>
      </c>
      <c r="D81" s="203" t="s">
        <v>301</v>
      </c>
      <c r="E81" s="334">
        <v>200</v>
      </c>
      <c r="F81" s="575">
        <f>F82</f>
        <v>9658.4</v>
      </c>
      <c r="G81" s="441"/>
      <c r="H81" s="460">
        <f>H82</f>
        <v>3000</v>
      </c>
      <c r="I81" s="583"/>
      <c r="J81" s="575">
        <f>J82</f>
        <v>3000</v>
      </c>
      <c r="K81" s="441"/>
      <c r="L81" s="114"/>
      <c r="N81" s="114"/>
      <c r="O81" s="114"/>
    </row>
    <row r="82" spans="1:15" s="103" customFormat="1" ht="31.5" x14ac:dyDescent="0.25">
      <c r="A82" s="252" t="s">
        <v>51</v>
      </c>
      <c r="B82" s="132" t="s">
        <v>28</v>
      </c>
      <c r="C82" s="331" t="s">
        <v>48</v>
      </c>
      <c r="D82" s="203" t="s">
        <v>301</v>
      </c>
      <c r="E82" s="334">
        <v>240</v>
      </c>
      <c r="F82" s="575">
        <f>'ведом. 2025-2027'!AD56</f>
        <v>9658.4</v>
      </c>
      <c r="G82" s="441"/>
      <c r="H82" s="460">
        <f>'ведом. 2025-2027'!AE56</f>
        <v>3000</v>
      </c>
      <c r="I82" s="583"/>
      <c r="J82" s="575">
        <f>'ведом. 2025-2027'!AF56</f>
        <v>3000</v>
      </c>
      <c r="K82" s="441"/>
      <c r="L82" s="114"/>
      <c r="N82" s="114"/>
      <c r="O82" s="114"/>
    </row>
    <row r="83" spans="1:15" s="103" customFormat="1" x14ac:dyDescent="0.25">
      <c r="A83" s="450" t="s">
        <v>328</v>
      </c>
      <c r="B83" s="509" t="s">
        <v>28</v>
      </c>
      <c r="C83" s="297" t="s">
        <v>48</v>
      </c>
      <c r="D83" s="409" t="s">
        <v>135</v>
      </c>
      <c r="E83" s="552"/>
      <c r="F83" s="575">
        <f>F84+F87</f>
        <v>6720.5</v>
      </c>
      <c r="G83" s="441">
        <f t="shared" ref="G83:J83" si="9">G84+G87</f>
        <v>6720.5</v>
      </c>
      <c r="H83" s="460">
        <f t="shared" si="9"/>
        <v>0</v>
      </c>
      <c r="I83" s="583"/>
      <c r="J83" s="575">
        <f t="shared" si="9"/>
        <v>0</v>
      </c>
      <c r="K83" s="441"/>
      <c r="L83" s="114"/>
      <c r="N83" s="114"/>
      <c r="O83" s="114"/>
    </row>
    <row r="84" spans="1:15" s="103" customFormat="1" ht="47.25" x14ac:dyDescent="0.25">
      <c r="A84" s="294" t="s">
        <v>889</v>
      </c>
      <c r="B84" s="509" t="s">
        <v>28</v>
      </c>
      <c r="C84" s="297" t="s">
        <v>48</v>
      </c>
      <c r="D84" s="503" t="s">
        <v>890</v>
      </c>
      <c r="E84" s="552"/>
      <c r="F84" s="575">
        <f>F85</f>
        <v>5220.5</v>
      </c>
      <c r="G84" s="441">
        <f>G85</f>
        <v>5220.5</v>
      </c>
      <c r="H84" s="460">
        <f t="shared" ref="H84:J84" si="10">H85</f>
        <v>0</v>
      </c>
      <c r="I84" s="583"/>
      <c r="J84" s="575">
        <f t="shared" si="10"/>
        <v>0</v>
      </c>
      <c r="K84" s="441"/>
      <c r="L84" s="114"/>
      <c r="N84" s="114"/>
      <c r="O84" s="114"/>
    </row>
    <row r="85" spans="1:15" s="103" customFormat="1" ht="47.25" x14ac:dyDescent="0.25">
      <c r="A85" s="294" t="s">
        <v>40</v>
      </c>
      <c r="B85" s="509" t="s">
        <v>28</v>
      </c>
      <c r="C85" s="297" t="s">
        <v>48</v>
      </c>
      <c r="D85" s="503" t="s">
        <v>890</v>
      </c>
      <c r="E85" s="552">
        <v>100</v>
      </c>
      <c r="F85" s="575">
        <f>F86</f>
        <v>5220.5</v>
      </c>
      <c r="G85" s="441">
        <f>G86</f>
        <v>5220.5</v>
      </c>
      <c r="H85" s="460">
        <f t="shared" ref="H85:J85" si="11">H86</f>
        <v>0</v>
      </c>
      <c r="I85" s="583"/>
      <c r="J85" s="575">
        <f t="shared" si="11"/>
        <v>0</v>
      </c>
      <c r="K85" s="441"/>
      <c r="L85" s="114"/>
      <c r="N85" s="114"/>
      <c r="O85" s="114"/>
    </row>
    <row r="86" spans="1:15" s="103" customFormat="1" x14ac:dyDescent="0.25">
      <c r="A86" s="446" t="s">
        <v>94</v>
      </c>
      <c r="B86" s="509" t="s">
        <v>28</v>
      </c>
      <c r="C86" s="297" t="s">
        <v>48</v>
      </c>
      <c r="D86" s="503" t="s">
        <v>890</v>
      </c>
      <c r="E86" s="552">
        <v>120</v>
      </c>
      <c r="F86" s="575">
        <f>'ведом. 2025-2027'!AD60</f>
        <v>5220.5</v>
      </c>
      <c r="G86" s="441">
        <v>5220.5</v>
      </c>
      <c r="H86" s="460">
        <f>'ведом. 2025-2027'!AE60</f>
        <v>0</v>
      </c>
      <c r="I86" s="583"/>
      <c r="J86" s="575">
        <f>'ведом. 2025-2027'!AF60</f>
        <v>0</v>
      </c>
      <c r="K86" s="441"/>
      <c r="L86" s="114"/>
      <c r="N86" s="114"/>
      <c r="O86" s="114"/>
    </row>
    <row r="87" spans="1:15" s="103" customFormat="1" ht="47.25" x14ac:dyDescent="0.25">
      <c r="A87" s="446" t="s">
        <v>891</v>
      </c>
      <c r="B87" s="509" t="s">
        <v>28</v>
      </c>
      <c r="C87" s="297" t="s">
        <v>48</v>
      </c>
      <c r="D87" s="503" t="s">
        <v>892</v>
      </c>
      <c r="E87" s="552"/>
      <c r="F87" s="575">
        <f>F88</f>
        <v>1500</v>
      </c>
      <c r="G87" s="441">
        <f>G88</f>
        <v>1500</v>
      </c>
      <c r="H87" s="460">
        <f t="shared" ref="H87:J87" si="12">H88</f>
        <v>0</v>
      </c>
      <c r="I87" s="583"/>
      <c r="J87" s="575">
        <f t="shared" si="12"/>
        <v>0</v>
      </c>
      <c r="K87" s="441"/>
      <c r="L87" s="114"/>
      <c r="N87" s="114"/>
      <c r="O87" s="114"/>
    </row>
    <row r="88" spans="1:15" s="103" customFormat="1" ht="47.25" x14ac:dyDescent="0.25">
      <c r="A88" s="294" t="s">
        <v>40</v>
      </c>
      <c r="B88" s="509" t="s">
        <v>28</v>
      </c>
      <c r="C88" s="297" t="s">
        <v>48</v>
      </c>
      <c r="D88" s="503" t="s">
        <v>892</v>
      </c>
      <c r="E88" s="552">
        <v>100</v>
      </c>
      <c r="F88" s="575">
        <f>F89</f>
        <v>1500</v>
      </c>
      <c r="G88" s="441">
        <f>G89</f>
        <v>1500</v>
      </c>
      <c r="H88" s="460">
        <f t="shared" ref="H88:J88" si="13">H89</f>
        <v>0</v>
      </c>
      <c r="I88" s="583"/>
      <c r="J88" s="575">
        <f t="shared" si="13"/>
        <v>0</v>
      </c>
      <c r="K88" s="441"/>
      <c r="L88" s="114"/>
      <c r="N88" s="114"/>
      <c r="O88" s="114"/>
    </row>
    <row r="89" spans="1:15" s="103" customFormat="1" x14ac:dyDescent="0.25">
      <c r="A89" s="446" t="s">
        <v>94</v>
      </c>
      <c r="B89" s="509" t="s">
        <v>28</v>
      </c>
      <c r="C89" s="297" t="s">
        <v>48</v>
      </c>
      <c r="D89" s="503" t="s">
        <v>892</v>
      </c>
      <c r="E89" s="552">
        <v>120</v>
      </c>
      <c r="F89" s="575">
        <f>'ведом. 2025-2027'!AD63</f>
        <v>1500</v>
      </c>
      <c r="G89" s="441">
        <v>1500</v>
      </c>
      <c r="H89" s="460">
        <f>'ведом. 2025-2027'!AE63</f>
        <v>0</v>
      </c>
      <c r="I89" s="583"/>
      <c r="J89" s="575">
        <f>'ведом. 2025-2027'!AF63</f>
        <v>0</v>
      </c>
      <c r="K89" s="441"/>
      <c r="L89" s="114"/>
      <c r="N89" s="114"/>
      <c r="O89" s="114"/>
    </row>
    <row r="90" spans="1:15" s="103" customFormat="1" ht="31.5" x14ac:dyDescent="0.25">
      <c r="A90" s="252" t="s">
        <v>69</v>
      </c>
      <c r="B90" s="132" t="s">
        <v>28</v>
      </c>
      <c r="C90" s="331" t="s">
        <v>93</v>
      </c>
      <c r="D90" s="228"/>
      <c r="E90" s="334"/>
      <c r="F90" s="575">
        <f>F91+F108</f>
        <v>43493.4</v>
      </c>
      <c r="G90" s="441"/>
      <c r="H90" s="460">
        <f>H91+H108</f>
        <v>42805.3</v>
      </c>
      <c r="I90" s="583"/>
      <c r="J90" s="575">
        <f>J91+J108</f>
        <v>43070</v>
      </c>
      <c r="K90" s="441"/>
      <c r="L90" s="114"/>
      <c r="N90" s="114"/>
      <c r="O90" s="114"/>
    </row>
    <row r="91" spans="1:15" s="103" customFormat="1" x14ac:dyDescent="0.25">
      <c r="A91" s="182" t="s">
        <v>184</v>
      </c>
      <c r="B91" s="132" t="s">
        <v>28</v>
      </c>
      <c r="C91" s="331" t="s">
        <v>93</v>
      </c>
      <c r="D91" s="116" t="s">
        <v>110</v>
      </c>
      <c r="E91" s="334"/>
      <c r="F91" s="575">
        <f>F92</f>
        <v>32354</v>
      </c>
      <c r="G91" s="441"/>
      <c r="H91" s="460">
        <f>H92</f>
        <v>32041.9</v>
      </c>
      <c r="I91" s="583"/>
      <c r="J91" s="575">
        <f>J92</f>
        <v>32306.600000000002</v>
      </c>
      <c r="K91" s="441"/>
      <c r="L91" s="114"/>
      <c r="N91" s="114"/>
      <c r="O91" s="114"/>
    </row>
    <row r="92" spans="1:15" s="103" customFormat="1" x14ac:dyDescent="0.25">
      <c r="A92" s="182" t="s">
        <v>187</v>
      </c>
      <c r="B92" s="132" t="s">
        <v>28</v>
      </c>
      <c r="C92" s="331" t="s">
        <v>93</v>
      </c>
      <c r="D92" s="116" t="s">
        <v>188</v>
      </c>
      <c r="E92" s="334"/>
      <c r="F92" s="575">
        <f>F93+F104</f>
        <v>32354</v>
      </c>
      <c r="G92" s="441"/>
      <c r="H92" s="460">
        <f>H93+H104</f>
        <v>32041.9</v>
      </c>
      <c r="I92" s="583"/>
      <c r="J92" s="575">
        <f>J93+J104</f>
        <v>32306.600000000002</v>
      </c>
      <c r="K92" s="441"/>
      <c r="L92" s="114"/>
      <c r="N92" s="114"/>
      <c r="O92" s="114"/>
    </row>
    <row r="93" spans="1:15" s="103" customFormat="1" ht="31.5" x14ac:dyDescent="0.25">
      <c r="A93" s="182" t="s">
        <v>189</v>
      </c>
      <c r="B93" s="132" t="s">
        <v>28</v>
      </c>
      <c r="C93" s="331" t="s">
        <v>93</v>
      </c>
      <c r="D93" s="116" t="s">
        <v>190</v>
      </c>
      <c r="E93" s="334"/>
      <c r="F93" s="575">
        <f>F94</f>
        <v>32168.2</v>
      </c>
      <c r="G93" s="441"/>
      <c r="H93" s="460">
        <f>H94</f>
        <v>31765.600000000002</v>
      </c>
      <c r="I93" s="583"/>
      <c r="J93" s="575">
        <f>J94</f>
        <v>31765.600000000002</v>
      </c>
      <c r="K93" s="441"/>
      <c r="L93" s="114"/>
      <c r="N93" s="114"/>
      <c r="O93" s="114"/>
    </row>
    <row r="94" spans="1:15" s="103" customFormat="1" x14ac:dyDescent="0.25">
      <c r="A94" s="183" t="s">
        <v>207</v>
      </c>
      <c r="B94" s="132" t="s">
        <v>28</v>
      </c>
      <c r="C94" s="331" t="s">
        <v>93</v>
      </c>
      <c r="D94" s="203" t="s">
        <v>208</v>
      </c>
      <c r="E94" s="334"/>
      <c r="F94" s="575">
        <f>F95+F98+F101</f>
        <v>32168.2</v>
      </c>
      <c r="G94" s="441"/>
      <c r="H94" s="460">
        <f>H95+H98+H101</f>
        <v>31765.600000000002</v>
      </c>
      <c r="I94" s="583"/>
      <c r="J94" s="575">
        <f>J95+J98+J101</f>
        <v>31765.600000000002</v>
      </c>
      <c r="K94" s="441"/>
      <c r="L94" s="114"/>
      <c r="N94" s="114"/>
      <c r="O94" s="114"/>
    </row>
    <row r="95" spans="1:15" s="103" customFormat="1" ht="31.5" x14ac:dyDescent="0.25">
      <c r="A95" s="252" t="s">
        <v>209</v>
      </c>
      <c r="B95" s="132" t="s">
        <v>28</v>
      </c>
      <c r="C95" s="331" t="s">
        <v>93</v>
      </c>
      <c r="D95" s="203" t="s">
        <v>210</v>
      </c>
      <c r="E95" s="334"/>
      <c r="F95" s="575">
        <f>F96</f>
        <v>3669.3</v>
      </c>
      <c r="G95" s="441"/>
      <c r="H95" s="460">
        <f>H96</f>
        <v>3657.8</v>
      </c>
      <c r="I95" s="583"/>
      <c r="J95" s="575">
        <f>J96</f>
        <v>3657.8</v>
      </c>
      <c r="K95" s="441"/>
      <c r="L95" s="114"/>
      <c r="N95" s="114"/>
      <c r="O95" s="114"/>
    </row>
    <row r="96" spans="1:15" s="103" customFormat="1" x14ac:dyDescent="0.25">
      <c r="A96" s="252" t="s">
        <v>118</v>
      </c>
      <c r="B96" s="132" t="s">
        <v>28</v>
      </c>
      <c r="C96" s="331" t="s">
        <v>93</v>
      </c>
      <c r="D96" s="203" t="s">
        <v>210</v>
      </c>
      <c r="E96" s="334">
        <v>200</v>
      </c>
      <c r="F96" s="575">
        <f>F97</f>
        <v>3669.3</v>
      </c>
      <c r="G96" s="441"/>
      <c r="H96" s="460">
        <f>H97</f>
        <v>3657.8</v>
      </c>
      <c r="I96" s="583"/>
      <c r="J96" s="575">
        <f>J97</f>
        <v>3657.8</v>
      </c>
      <c r="K96" s="441"/>
      <c r="L96" s="114"/>
      <c r="N96" s="114"/>
      <c r="O96" s="114"/>
    </row>
    <row r="97" spans="1:15" s="103" customFormat="1" ht="31.5" x14ac:dyDescent="0.25">
      <c r="A97" s="252" t="s">
        <v>51</v>
      </c>
      <c r="B97" s="132" t="s">
        <v>28</v>
      </c>
      <c r="C97" s="331" t="s">
        <v>93</v>
      </c>
      <c r="D97" s="203" t="s">
        <v>210</v>
      </c>
      <c r="E97" s="334">
        <v>240</v>
      </c>
      <c r="F97" s="575">
        <f>'ведом. 2025-2027'!AD603</f>
        <v>3669.3</v>
      </c>
      <c r="G97" s="441"/>
      <c r="H97" s="460">
        <f>'ведом. 2025-2027'!AE603</f>
        <v>3657.8</v>
      </c>
      <c r="I97" s="583"/>
      <c r="J97" s="575">
        <f>'ведом. 2025-2027'!AF603</f>
        <v>3657.8</v>
      </c>
      <c r="K97" s="441"/>
      <c r="L97" s="114"/>
      <c r="N97" s="114"/>
      <c r="O97" s="114"/>
    </row>
    <row r="98" spans="1:15" s="103" customFormat="1" ht="31.5" x14ac:dyDescent="0.25">
      <c r="A98" s="252" t="s">
        <v>214</v>
      </c>
      <c r="B98" s="132" t="s">
        <v>28</v>
      </c>
      <c r="C98" s="331" t="s">
        <v>93</v>
      </c>
      <c r="D98" s="21" t="str">
        <f>D99</f>
        <v>12 5 01 00162</v>
      </c>
      <c r="E98" s="334"/>
      <c r="F98" s="575">
        <f>F100</f>
        <v>15536.1</v>
      </c>
      <c r="G98" s="441"/>
      <c r="H98" s="460">
        <f>H100</f>
        <v>15536.1</v>
      </c>
      <c r="I98" s="583"/>
      <c r="J98" s="575">
        <f>J100</f>
        <v>15536.1</v>
      </c>
      <c r="K98" s="441"/>
      <c r="L98" s="114"/>
      <c r="N98" s="114"/>
      <c r="O98" s="114"/>
    </row>
    <row r="99" spans="1:15" s="103" customFormat="1" ht="47.25" x14ac:dyDescent="0.25">
      <c r="A99" s="252" t="s">
        <v>40</v>
      </c>
      <c r="B99" s="132" t="s">
        <v>28</v>
      </c>
      <c r="C99" s="331" t="s">
        <v>93</v>
      </c>
      <c r="D99" s="21" t="str">
        <f>D100</f>
        <v>12 5 01 00162</v>
      </c>
      <c r="E99" s="334">
        <v>100</v>
      </c>
      <c r="F99" s="575">
        <f>F100</f>
        <v>15536.1</v>
      </c>
      <c r="G99" s="441"/>
      <c r="H99" s="460">
        <f>H100</f>
        <v>15536.1</v>
      </c>
      <c r="I99" s="583"/>
      <c r="J99" s="575">
        <f>J100</f>
        <v>15536.1</v>
      </c>
      <c r="K99" s="441"/>
      <c r="L99" s="114"/>
      <c r="N99" s="114"/>
      <c r="O99" s="114"/>
    </row>
    <row r="100" spans="1:15" s="103" customFormat="1" x14ac:dyDescent="0.25">
      <c r="A100" s="252" t="s">
        <v>94</v>
      </c>
      <c r="B100" s="132" t="s">
        <v>28</v>
      </c>
      <c r="C100" s="331" t="s">
        <v>93</v>
      </c>
      <c r="D100" s="203" t="s">
        <v>211</v>
      </c>
      <c r="E100" s="334">
        <v>120</v>
      </c>
      <c r="F100" s="575">
        <f>'ведом. 2025-2027'!AD606</f>
        <v>15536.1</v>
      </c>
      <c r="G100" s="441"/>
      <c r="H100" s="460">
        <f>'ведом. 2025-2027'!AE606</f>
        <v>15536.1</v>
      </c>
      <c r="I100" s="583"/>
      <c r="J100" s="575">
        <f>'ведом. 2025-2027'!AF606</f>
        <v>15536.1</v>
      </c>
      <c r="K100" s="441"/>
      <c r="L100" s="114"/>
      <c r="N100" s="114"/>
      <c r="O100" s="114"/>
    </row>
    <row r="101" spans="1:15" s="103" customFormat="1" ht="31.5" x14ac:dyDescent="0.25">
      <c r="A101" s="252" t="s">
        <v>213</v>
      </c>
      <c r="B101" s="132" t="s">
        <v>28</v>
      </c>
      <c r="C101" s="331" t="s">
        <v>93</v>
      </c>
      <c r="D101" s="21" t="str">
        <f>D102</f>
        <v>12 5 01 00163</v>
      </c>
      <c r="E101" s="334"/>
      <c r="F101" s="575">
        <f>F102</f>
        <v>12962.8</v>
      </c>
      <c r="G101" s="441"/>
      <c r="H101" s="460">
        <f>H102</f>
        <v>12571.7</v>
      </c>
      <c r="I101" s="583"/>
      <c r="J101" s="575">
        <f>J102</f>
        <v>12571.7</v>
      </c>
      <c r="K101" s="441"/>
      <c r="L101" s="114"/>
      <c r="N101" s="114"/>
      <c r="O101" s="114"/>
    </row>
    <row r="102" spans="1:15" s="103" customFormat="1" ht="47.25" x14ac:dyDescent="0.25">
      <c r="A102" s="252" t="s">
        <v>40</v>
      </c>
      <c r="B102" s="132" t="s">
        <v>28</v>
      </c>
      <c r="C102" s="331" t="s">
        <v>93</v>
      </c>
      <c r="D102" s="21" t="str">
        <f>D103</f>
        <v>12 5 01 00163</v>
      </c>
      <c r="E102" s="334">
        <v>100</v>
      </c>
      <c r="F102" s="575">
        <f>F103</f>
        <v>12962.8</v>
      </c>
      <c r="G102" s="441"/>
      <c r="H102" s="460">
        <f>H103</f>
        <v>12571.7</v>
      </c>
      <c r="I102" s="583"/>
      <c r="J102" s="575">
        <f>J103</f>
        <v>12571.7</v>
      </c>
      <c r="K102" s="441"/>
      <c r="L102" s="114"/>
      <c r="N102" s="114"/>
      <c r="O102" s="114"/>
    </row>
    <row r="103" spans="1:15" s="103" customFormat="1" x14ac:dyDescent="0.25">
      <c r="A103" s="252" t="s">
        <v>94</v>
      </c>
      <c r="B103" s="132" t="s">
        <v>28</v>
      </c>
      <c r="C103" s="331" t="s">
        <v>93</v>
      </c>
      <c r="D103" s="203" t="s">
        <v>212</v>
      </c>
      <c r="E103" s="334">
        <v>120</v>
      </c>
      <c r="F103" s="575">
        <f>'ведом. 2025-2027'!AD609</f>
        <v>12962.8</v>
      </c>
      <c r="G103" s="441"/>
      <c r="H103" s="460">
        <f>'ведом. 2025-2027'!AE609</f>
        <v>12571.7</v>
      </c>
      <c r="I103" s="583"/>
      <c r="J103" s="575">
        <f>'ведом. 2025-2027'!AF609</f>
        <v>12571.7</v>
      </c>
      <c r="K103" s="441"/>
      <c r="L103" s="114"/>
      <c r="N103" s="114"/>
      <c r="O103" s="114"/>
    </row>
    <row r="104" spans="1:15" s="103" customFormat="1" ht="31.5" x14ac:dyDescent="0.25">
      <c r="A104" s="255" t="s">
        <v>529</v>
      </c>
      <c r="B104" s="132" t="s">
        <v>28</v>
      </c>
      <c r="C104" s="331" t="s">
        <v>93</v>
      </c>
      <c r="D104" s="203" t="s">
        <v>530</v>
      </c>
      <c r="E104" s="334"/>
      <c r="F104" s="575">
        <f>F105</f>
        <v>185.79999999999998</v>
      </c>
      <c r="G104" s="441"/>
      <c r="H104" s="460">
        <f t="shared" ref="H104:J106" si="14">H105</f>
        <v>276.3</v>
      </c>
      <c r="I104" s="583"/>
      <c r="J104" s="575">
        <f t="shared" si="14"/>
        <v>541</v>
      </c>
      <c r="K104" s="441"/>
      <c r="L104" s="114"/>
      <c r="N104" s="114"/>
      <c r="O104" s="114"/>
    </row>
    <row r="105" spans="1:15" s="103" customFormat="1" ht="78.75" x14ac:dyDescent="0.25">
      <c r="A105" s="255" t="s">
        <v>401</v>
      </c>
      <c r="B105" s="132" t="s">
        <v>28</v>
      </c>
      <c r="C105" s="331" t="s">
        <v>93</v>
      </c>
      <c r="D105" s="116" t="s">
        <v>531</v>
      </c>
      <c r="E105" s="334"/>
      <c r="F105" s="575">
        <f>F106</f>
        <v>185.79999999999998</v>
      </c>
      <c r="G105" s="441"/>
      <c r="H105" s="460">
        <f t="shared" si="14"/>
        <v>276.3</v>
      </c>
      <c r="I105" s="583"/>
      <c r="J105" s="575">
        <f t="shared" si="14"/>
        <v>541</v>
      </c>
      <c r="K105" s="441"/>
      <c r="L105" s="114"/>
      <c r="N105" s="114"/>
      <c r="O105" s="114"/>
    </row>
    <row r="106" spans="1:15" s="103" customFormat="1" x14ac:dyDescent="0.25">
      <c r="A106" s="255" t="s">
        <v>118</v>
      </c>
      <c r="B106" s="132" t="s">
        <v>28</v>
      </c>
      <c r="C106" s="331" t="s">
        <v>93</v>
      </c>
      <c r="D106" s="116" t="s">
        <v>531</v>
      </c>
      <c r="E106" s="334">
        <v>200</v>
      </c>
      <c r="F106" s="575">
        <f>F107</f>
        <v>185.79999999999998</v>
      </c>
      <c r="G106" s="441"/>
      <c r="H106" s="460">
        <f t="shared" si="14"/>
        <v>276.3</v>
      </c>
      <c r="I106" s="583"/>
      <c r="J106" s="575">
        <f t="shared" si="14"/>
        <v>541</v>
      </c>
      <c r="K106" s="441"/>
      <c r="L106" s="114"/>
      <c r="N106" s="114"/>
      <c r="O106" s="114"/>
    </row>
    <row r="107" spans="1:15" s="103" customFormat="1" ht="31.5" x14ac:dyDescent="0.25">
      <c r="A107" s="255" t="s">
        <v>51</v>
      </c>
      <c r="B107" s="132" t="s">
        <v>28</v>
      </c>
      <c r="C107" s="331" t="s">
        <v>93</v>
      </c>
      <c r="D107" s="116" t="s">
        <v>531</v>
      </c>
      <c r="E107" s="334">
        <v>240</v>
      </c>
      <c r="F107" s="575">
        <f>'ведом. 2025-2027'!AD613+'ведом. 2025-2027'!AD1124</f>
        <v>185.79999999999998</v>
      </c>
      <c r="G107" s="441"/>
      <c r="H107" s="460">
        <f>'ведом. 2025-2027'!AE613+'ведом. 2025-2027'!AE1124</f>
        <v>276.3</v>
      </c>
      <c r="I107" s="583"/>
      <c r="J107" s="575">
        <f>'ведом. 2025-2027'!AF613+'ведом. 2025-2027'!AF1124</f>
        <v>541</v>
      </c>
      <c r="K107" s="441"/>
      <c r="L107" s="114"/>
      <c r="N107" s="114"/>
      <c r="O107" s="114"/>
    </row>
    <row r="108" spans="1:15" s="103" customFormat="1" ht="31.5" x14ac:dyDescent="0.25">
      <c r="A108" s="182" t="s">
        <v>272</v>
      </c>
      <c r="B108" s="132" t="s">
        <v>28</v>
      </c>
      <c r="C108" s="331" t="s">
        <v>93</v>
      </c>
      <c r="D108" s="116" t="s">
        <v>97</v>
      </c>
      <c r="E108" s="334"/>
      <c r="F108" s="575">
        <f>F109</f>
        <v>11139.400000000001</v>
      </c>
      <c r="G108" s="441"/>
      <c r="H108" s="460">
        <f>H109</f>
        <v>10763.400000000001</v>
      </c>
      <c r="I108" s="583"/>
      <c r="J108" s="575">
        <f>J109</f>
        <v>10763.400000000001</v>
      </c>
      <c r="K108" s="441"/>
      <c r="L108" s="114"/>
      <c r="N108" s="114"/>
      <c r="O108" s="114"/>
    </row>
    <row r="109" spans="1:15" s="103" customFormat="1" x14ac:dyDescent="0.25">
      <c r="A109" s="183" t="s">
        <v>270</v>
      </c>
      <c r="B109" s="132" t="s">
        <v>28</v>
      </c>
      <c r="C109" s="331" t="s">
        <v>93</v>
      </c>
      <c r="D109" s="116" t="s">
        <v>271</v>
      </c>
      <c r="E109" s="334"/>
      <c r="F109" s="575">
        <f>F110+F113+F116+F119</f>
        <v>11139.400000000001</v>
      </c>
      <c r="G109" s="441"/>
      <c r="H109" s="460">
        <f>H110+H113+H116+H119</f>
        <v>10763.400000000001</v>
      </c>
      <c r="I109" s="583"/>
      <c r="J109" s="575">
        <f>J110+J113+J116+J119</f>
        <v>10763.400000000001</v>
      </c>
      <c r="K109" s="441"/>
      <c r="L109" s="114"/>
      <c r="N109" s="114"/>
      <c r="O109" s="114"/>
    </row>
    <row r="110" spans="1:15" s="103" customFormat="1" x14ac:dyDescent="0.25">
      <c r="A110" s="252" t="s">
        <v>273</v>
      </c>
      <c r="B110" s="132" t="s">
        <v>28</v>
      </c>
      <c r="C110" s="331" t="s">
        <v>93</v>
      </c>
      <c r="D110" s="116" t="s">
        <v>274</v>
      </c>
      <c r="E110" s="334"/>
      <c r="F110" s="575">
        <f>F111</f>
        <v>1311.2</v>
      </c>
      <c r="G110" s="441"/>
      <c r="H110" s="460">
        <f>H111</f>
        <v>1348.2</v>
      </c>
      <c r="I110" s="583"/>
      <c r="J110" s="575">
        <f>J111</f>
        <v>1348.2</v>
      </c>
      <c r="K110" s="441"/>
      <c r="L110" s="114"/>
      <c r="N110" s="114"/>
      <c r="O110" s="114"/>
    </row>
    <row r="111" spans="1:15" s="103" customFormat="1" x14ac:dyDescent="0.25">
      <c r="A111" s="252" t="s">
        <v>118</v>
      </c>
      <c r="B111" s="132" t="s">
        <v>28</v>
      </c>
      <c r="C111" s="331" t="s">
        <v>93</v>
      </c>
      <c r="D111" s="116" t="s">
        <v>274</v>
      </c>
      <c r="E111" s="334">
        <v>200</v>
      </c>
      <c r="F111" s="575">
        <f>F112</f>
        <v>1311.2</v>
      </c>
      <c r="G111" s="441"/>
      <c r="H111" s="460">
        <f>H112</f>
        <v>1348.2</v>
      </c>
      <c r="I111" s="583"/>
      <c r="J111" s="575">
        <f>J112</f>
        <v>1348.2</v>
      </c>
      <c r="K111" s="441"/>
      <c r="L111" s="114"/>
      <c r="N111" s="114"/>
      <c r="O111" s="114"/>
    </row>
    <row r="112" spans="1:15" s="103" customFormat="1" ht="31.5" x14ac:dyDescent="0.25">
      <c r="A112" s="252" t="s">
        <v>51</v>
      </c>
      <c r="B112" s="132" t="s">
        <v>28</v>
      </c>
      <c r="C112" s="331" t="s">
        <v>93</v>
      </c>
      <c r="D112" s="116" t="s">
        <v>274</v>
      </c>
      <c r="E112" s="334">
        <v>240</v>
      </c>
      <c r="F112" s="575">
        <f>'ведом. 2025-2027'!AD1129</f>
        <v>1311.2</v>
      </c>
      <c r="G112" s="441"/>
      <c r="H112" s="460">
        <f>'ведом. 2025-2027'!AE1129</f>
        <v>1348.2</v>
      </c>
      <c r="I112" s="583"/>
      <c r="J112" s="575">
        <f>'ведом. 2025-2027'!AF1129</f>
        <v>1348.2</v>
      </c>
      <c r="K112" s="441"/>
      <c r="L112" s="114"/>
      <c r="N112" s="114"/>
      <c r="O112" s="114"/>
    </row>
    <row r="113" spans="1:15" s="103" customFormat="1" ht="31.5" x14ac:dyDescent="0.25">
      <c r="A113" s="252" t="s">
        <v>275</v>
      </c>
      <c r="B113" s="132" t="s">
        <v>28</v>
      </c>
      <c r="C113" s="331" t="s">
        <v>93</v>
      </c>
      <c r="D113" s="116" t="s">
        <v>276</v>
      </c>
      <c r="E113" s="334"/>
      <c r="F113" s="575">
        <f>F114</f>
        <v>2423.4</v>
      </c>
      <c r="G113" s="441"/>
      <c r="H113" s="460">
        <f>H114</f>
        <v>2423.4</v>
      </c>
      <c r="I113" s="583"/>
      <c r="J113" s="575">
        <f>J114</f>
        <v>2423.4</v>
      </c>
      <c r="K113" s="441"/>
      <c r="L113" s="114"/>
      <c r="N113" s="114"/>
      <c r="O113" s="114"/>
    </row>
    <row r="114" spans="1:15" s="103" customFormat="1" ht="47.25" x14ac:dyDescent="0.25">
      <c r="A114" s="252" t="s">
        <v>40</v>
      </c>
      <c r="B114" s="132" t="s">
        <v>28</v>
      </c>
      <c r="C114" s="331" t="s">
        <v>93</v>
      </c>
      <c r="D114" s="116" t="s">
        <v>276</v>
      </c>
      <c r="E114" s="334">
        <v>100</v>
      </c>
      <c r="F114" s="575">
        <f>F115</f>
        <v>2423.4</v>
      </c>
      <c r="G114" s="441"/>
      <c r="H114" s="460">
        <f>H115</f>
        <v>2423.4</v>
      </c>
      <c r="I114" s="583"/>
      <c r="J114" s="575">
        <f>J115</f>
        <v>2423.4</v>
      </c>
      <c r="K114" s="441"/>
      <c r="L114" s="114"/>
      <c r="N114" s="114"/>
      <c r="O114" s="114"/>
    </row>
    <row r="115" spans="1:15" s="103" customFormat="1" x14ac:dyDescent="0.25">
      <c r="A115" s="252" t="s">
        <v>94</v>
      </c>
      <c r="B115" s="132" t="s">
        <v>28</v>
      </c>
      <c r="C115" s="331" t="s">
        <v>93</v>
      </c>
      <c r="D115" s="116" t="s">
        <v>276</v>
      </c>
      <c r="E115" s="334">
        <v>120</v>
      </c>
      <c r="F115" s="575">
        <f>'ведом. 2025-2027'!AD1132</f>
        <v>2423.4</v>
      </c>
      <c r="G115" s="441"/>
      <c r="H115" s="460">
        <f>'ведом. 2025-2027'!AE1132</f>
        <v>2423.4</v>
      </c>
      <c r="I115" s="583"/>
      <c r="J115" s="575">
        <f>'ведом. 2025-2027'!AF1132</f>
        <v>2423.4</v>
      </c>
      <c r="K115" s="441"/>
      <c r="L115" s="114"/>
      <c r="N115" s="114"/>
      <c r="O115" s="114"/>
    </row>
    <row r="116" spans="1:15" s="103" customFormat="1" ht="31.5" x14ac:dyDescent="0.25">
      <c r="A116" s="252" t="s">
        <v>278</v>
      </c>
      <c r="B116" s="132" t="s">
        <v>28</v>
      </c>
      <c r="C116" s="331" t="s">
        <v>93</v>
      </c>
      <c r="D116" s="116" t="s">
        <v>277</v>
      </c>
      <c r="E116" s="334"/>
      <c r="F116" s="575">
        <f>F117</f>
        <v>4460</v>
      </c>
      <c r="G116" s="441"/>
      <c r="H116" s="460">
        <f>H117</f>
        <v>4460</v>
      </c>
      <c r="I116" s="583"/>
      <c r="J116" s="575">
        <f>J117</f>
        <v>4460</v>
      </c>
      <c r="K116" s="441"/>
      <c r="L116" s="114"/>
      <c r="N116" s="114"/>
      <c r="O116" s="114"/>
    </row>
    <row r="117" spans="1:15" s="103" customFormat="1" ht="47.25" x14ac:dyDescent="0.25">
      <c r="A117" s="252" t="s">
        <v>40</v>
      </c>
      <c r="B117" s="132" t="s">
        <v>28</v>
      </c>
      <c r="C117" s="331" t="s">
        <v>93</v>
      </c>
      <c r="D117" s="116" t="s">
        <v>277</v>
      </c>
      <c r="E117" s="334">
        <v>100</v>
      </c>
      <c r="F117" s="575">
        <f>F118</f>
        <v>4460</v>
      </c>
      <c r="G117" s="441"/>
      <c r="H117" s="460">
        <f>H118</f>
        <v>4460</v>
      </c>
      <c r="I117" s="583"/>
      <c r="J117" s="575">
        <f>J118</f>
        <v>4460</v>
      </c>
      <c r="K117" s="441"/>
      <c r="L117" s="114"/>
      <c r="N117" s="114"/>
      <c r="O117" s="114"/>
    </row>
    <row r="118" spans="1:15" s="103" customFormat="1" x14ac:dyDescent="0.25">
      <c r="A118" s="252" t="s">
        <v>94</v>
      </c>
      <c r="B118" s="132" t="s">
        <v>28</v>
      </c>
      <c r="C118" s="331" t="s">
        <v>93</v>
      </c>
      <c r="D118" s="116" t="s">
        <v>277</v>
      </c>
      <c r="E118" s="334">
        <v>120</v>
      </c>
      <c r="F118" s="575">
        <f>'ведом. 2025-2027'!AD1135</f>
        <v>4460</v>
      </c>
      <c r="G118" s="441"/>
      <c r="H118" s="460">
        <f>'ведом. 2025-2027'!AE1135</f>
        <v>4460</v>
      </c>
      <c r="I118" s="583"/>
      <c r="J118" s="575">
        <f>'ведом. 2025-2027'!AF1135</f>
        <v>4460</v>
      </c>
      <c r="K118" s="441"/>
      <c r="L118" s="114"/>
      <c r="N118" s="114"/>
      <c r="O118" s="114"/>
    </row>
    <row r="119" spans="1:15" s="103" customFormat="1" ht="31.5" x14ac:dyDescent="0.25">
      <c r="A119" s="255" t="s">
        <v>398</v>
      </c>
      <c r="B119" s="132" t="s">
        <v>28</v>
      </c>
      <c r="C119" s="331" t="s">
        <v>93</v>
      </c>
      <c r="D119" s="116" t="s">
        <v>399</v>
      </c>
      <c r="E119" s="334"/>
      <c r="F119" s="575">
        <f>F120</f>
        <v>2944.8</v>
      </c>
      <c r="G119" s="441"/>
      <c r="H119" s="460">
        <f>H120</f>
        <v>2531.8000000000002</v>
      </c>
      <c r="I119" s="583"/>
      <c r="J119" s="575">
        <f>J120</f>
        <v>2531.8000000000002</v>
      </c>
      <c r="K119" s="441"/>
      <c r="L119" s="114"/>
      <c r="N119" s="114"/>
      <c r="O119" s="114"/>
    </row>
    <row r="120" spans="1:15" s="103" customFormat="1" ht="47.25" x14ac:dyDescent="0.25">
      <c r="A120" s="255" t="s">
        <v>40</v>
      </c>
      <c r="B120" s="132" t="s">
        <v>28</v>
      </c>
      <c r="C120" s="331" t="s">
        <v>93</v>
      </c>
      <c r="D120" s="116" t="s">
        <v>399</v>
      </c>
      <c r="E120" s="334">
        <v>100</v>
      </c>
      <c r="F120" s="575">
        <f>F121</f>
        <v>2944.8</v>
      </c>
      <c r="G120" s="441"/>
      <c r="H120" s="460">
        <f>H121</f>
        <v>2531.8000000000002</v>
      </c>
      <c r="I120" s="583"/>
      <c r="J120" s="575">
        <f>J121</f>
        <v>2531.8000000000002</v>
      </c>
      <c r="K120" s="441"/>
      <c r="L120" s="114"/>
      <c r="N120" s="114"/>
      <c r="O120" s="114"/>
    </row>
    <row r="121" spans="1:15" s="103" customFormat="1" x14ac:dyDescent="0.25">
      <c r="A121" s="255" t="s">
        <v>94</v>
      </c>
      <c r="B121" s="132" t="s">
        <v>28</v>
      </c>
      <c r="C121" s="331" t="s">
        <v>93</v>
      </c>
      <c r="D121" s="116" t="s">
        <v>399</v>
      </c>
      <c r="E121" s="334">
        <v>120</v>
      </c>
      <c r="F121" s="575">
        <f>'ведом. 2025-2027'!AD1138</f>
        <v>2944.8</v>
      </c>
      <c r="G121" s="441"/>
      <c r="H121" s="460">
        <f>'ведом. 2025-2027'!AE1138</f>
        <v>2531.8000000000002</v>
      </c>
      <c r="I121" s="583"/>
      <c r="J121" s="575">
        <f>'ведом. 2025-2027'!AF1138</f>
        <v>2531.8000000000002</v>
      </c>
      <c r="K121" s="441"/>
      <c r="L121" s="114"/>
      <c r="N121" s="114"/>
      <c r="O121" s="114"/>
    </row>
    <row r="122" spans="1:15" s="103" customFormat="1" x14ac:dyDescent="0.25">
      <c r="A122" s="255" t="s">
        <v>42</v>
      </c>
      <c r="B122" s="132" t="s">
        <v>28</v>
      </c>
      <c r="C122" s="331" t="s">
        <v>7</v>
      </c>
      <c r="D122" s="116"/>
      <c r="E122" s="334"/>
      <c r="F122" s="575">
        <f>F123</f>
        <v>4837.3999999999996</v>
      </c>
      <c r="G122" s="441"/>
      <c r="H122" s="460">
        <f>H123</f>
        <v>0</v>
      </c>
      <c r="I122" s="583"/>
      <c r="J122" s="575">
        <f>J123</f>
        <v>0</v>
      </c>
      <c r="K122" s="441"/>
      <c r="L122" s="114"/>
      <c r="N122" s="114"/>
      <c r="O122" s="114"/>
    </row>
    <row r="123" spans="1:15" s="103" customFormat="1" x14ac:dyDescent="0.25">
      <c r="A123" s="198" t="s">
        <v>328</v>
      </c>
      <c r="B123" s="132" t="s">
        <v>28</v>
      </c>
      <c r="C123" s="331" t="s">
        <v>7</v>
      </c>
      <c r="D123" s="116" t="s">
        <v>135</v>
      </c>
      <c r="E123" s="205"/>
      <c r="F123" s="575">
        <f>F124</f>
        <v>4837.3999999999996</v>
      </c>
      <c r="G123" s="441"/>
      <c r="H123" s="460">
        <f>H124</f>
        <v>0</v>
      </c>
      <c r="I123" s="583"/>
      <c r="J123" s="575">
        <f>J124</f>
        <v>0</v>
      </c>
      <c r="K123" s="441"/>
      <c r="L123" s="114"/>
      <c r="N123" s="114"/>
      <c r="O123" s="114"/>
    </row>
    <row r="124" spans="1:15" s="103" customFormat="1" x14ac:dyDescent="0.25">
      <c r="A124" s="255" t="s">
        <v>603</v>
      </c>
      <c r="B124" s="132" t="s">
        <v>28</v>
      </c>
      <c r="C124" s="331" t="s">
        <v>7</v>
      </c>
      <c r="D124" s="116" t="s">
        <v>604</v>
      </c>
      <c r="E124" s="334"/>
      <c r="F124" s="575">
        <f>F125</f>
        <v>4837.3999999999996</v>
      </c>
      <c r="G124" s="441"/>
      <c r="H124" s="460">
        <f>H125</f>
        <v>0</v>
      </c>
      <c r="I124" s="583"/>
      <c r="J124" s="575">
        <f>J125</f>
        <v>0</v>
      </c>
      <c r="K124" s="441"/>
      <c r="L124" s="114"/>
      <c r="N124" s="114"/>
      <c r="O124" s="114"/>
    </row>
    <row r="125" spans="1:15" s="103" customFormat="1" x14ac:dyDescent="0.25">
      <c r="A125" s="294" t="s">
        <v>41</v>
      </c>
      <c r="B125" s="132" t="s">
        <v>28</v>
      </c>
      <c r="C125" s="331" t="s">
        <v>7</v>
      </c>
      <c r="D125" s="116" t="s">
        <v>604</v>
      </c>
      <c r="E125" s="334">
        <v>800</v>
      </c>
      <c r="F125" s="575">
        <f>F126</f>
        <v>4837.3999999999996</v>
      </c>
      <c r="G125" s="441"/>
      <c r="H125" s="460">
        <f>H126</f>
        <v>0</v>
      </c>
      <c r="I125" s="583"/>
      <c r="J125" s="575">
        <f>J126</f>
        <v>0</v>
      </c>
      <c r="K125" s="441"/>
      <c r="L125" s="114"/>
      <c r="N125" s="114"/>
      <c r="O125" s="114"/>
    </row>
    <row r="126" spans="1:15" s="103" customFormat="1" x14ac:dyDescent="0.25">
      <c r="A126" s="294" t="s">
        <v>610</v>
      </c>
      <c r="B126" s="132" t="s">
        <v>28</v>
      </c>
      <c r="C126" s="331" t="s">
        <v>7</v>
      </c>
      <c r="D126" s="116" t="s">
        <v>604</v>
      </c>
      <c r="E126" s="334">
        <v>880</v>
      </c>
      <c r="F126" s="575">
        <f>'ведом. 2025-2027'!AD68</f>
        <v>4837.3999999999996</v>
      </c>
      <c r="G126" s="441"/>
      <c r="H126" s="460">
        <f>'ведом. 2025-2027'!AE68</f>
        <v>0</v>
      </c>
      <c r="I126" s="583"/>
      <c r="J126" s="575">
        <f>'ведом. 2025-2027'!AF68</f>
        <v>0</v>
      </c>
      <c r="K126" s="441"/>
      <c r="L126" s="114"/>
      <c r="N126" s="114"/>
      <c r="O126" s="114"/>
    </row>
    <row r="127" spans="1:15" s="103" customFormat="1" x14ac:dyDescent="0.25">
      <c r="A127" s="294" t="s">
        <v>904</v>
      </c>
      <c r="B127" s="509" t="s">
        <v>28</v>
      </c>
      <c r="C127" s="297">
        <v>11</v>
      </c>
      <c r="D127" s="540"/>
      <c r="E127" s="552"/>
      <c r="F127" s="575">
        <f>F128</f>
        <v>1000</v>
      </c>
      <c r="G127" s="441"/>
      <c r="H127" s="460">
        <f t="shared" ref="H127:J127" si="15">H128</f>
        <v>0</v>
      </c>
      <c r="I127" s="583"/>
      <c r="J127" s="575">
        <f t="shared" si="15"/>
        <v>0</v>
      </c>
      <c r="K127" s="441"/>
      <c r="L127" s="114"/>
      <c r="N127" s="114"/>
      <c r="O127" s="114"/>
    </row>
    <row r="128" spans="1:15" s="103" customFormat="1" x14ac:dyDescent="0.25">
      <c r="A128" s="294" t="s">
        <v>328</v>
      </c>
      <c r="B128" s="509" t="s">
        <v>28</v>
      </c>
      <c r="C128" s="297">
        <v>11</v>
      </c>
      <c r="D128" s="412" t="s">
        <v>135</v>
      </c>
      <c r="E128" s="552"/>
      <c r="F128" s="575">
        <f>F129</f>
        <v>1000</v>
      </c>
      <c r="G128" s="441"/>
      <c r="H128" s="460">
        <f t="shared" ref="H128:J128" si="16">H129</f>
        <v>0</v>
      </c>
      <c r="I128" s="583"/>
      <c r="J128" s="575">
        <f t="shared" si="16"/>
        <v>0</v>
      </c>
      <c r="K128" s="441"/>
      <c r="L128" s="114"/>
      <c r="N128" s="114"/>
      <c r="O128" s="114"/>
    </row>
    <row r="129" spans="1:15" s="103" customFormat="1" ht="31.5" x14ac:dyDescent="0.25">
      <c r="A129" s="307" t="s">
        <v>905</v>
      </c>
      <c r="B129" s="509" t="s">
        <v>28</v>
      </c>
      <c r="C129" s="297">
        <v>11</v>
      </c>
      <c r="D129" s="409" t="s">
        <v>906</v>
      </c>
      <c r="E129" s="552"/>
      <c r="F129" s="575">
        <f>F130</f>
        <v>1000</v>
      </c>
      <c r="G129" s="441"/>
      <c r="H129" s="460">
        <f t="shared" ref="H129:J129" si="17">H130</f>
        <v>0</v>
      </c>
      <c r="I129" s="583"/>
      <c r="J129" s="575">
        <f t="shared" si="17"/>
        <v>0</v>
      </c>
      <c r="K129" s="441"/>
      <c r="L129" s="114"/>
      <c r="N129" s="114"/>
      <c r="O129" s="114"/>
    </row>
    <row r="130" spans="1:15" s="103" customFormat="1" x14ac:dyDescent="0.25">
      <c r="A130" s="294" t="s">
        <v>41</v>
      </c>
      <c r="B130" s="509" t="s">
        <v>28</v>
      </c>
      <c r="C130" s="297">
        <v>11</v>
      </c>
      <c r="D130" s="409" t="s">
        <v>906</v>
      </c>
      <c r="E130" s="552">
        <v>800</v>
      </c>
      <c r="F130" s="575">
        <f>F131</f>
        <v>1000</v>
      </c>
      <c r="G130" s="441"/>
      <c r="H130" s="460">
        <f t="shared" ref="H130:J130" si="18">H131</f>
        <v>0</v>
      </c>
      <c r="I130" s="583"/>
      <c r="J130" s="575">
        <f t="shared" si="18"/>
        <v>0</v>
      </c>
      <c r="K130" s="441"/>
      <c r="L130" s="114"/>
      <c r="N130" s="114"/>
      <c r="O130" s="114"/>
    </row>
    <row r="131" spans="1:15" s="103" customFormat="1" x14ac:dyDescent="0.25">
      <c r="A131" s="294" t="s">
        <v>134</v>
      </c>
      <c r="B131" s="509" t="s">
        <v>28</v>
      </c>
      <c r="C131" s="297">
        <v>11</v>
      </c>
      <c r="D131" s="409" t="s">
        <v>906</v>
      </c>
      <c r="E131" s="552">
        <v>870</v>
      </c>
      <c r="F131" s="575">
        <f>'ведом. 2025-2027'!AD73</f>
        <v>1000</v>
      </c>
      <c r="G131" s="441"/>
      <c r="H131" s="460">
        <f>'ведом. 2025-2027'!AE73</f>
        <v>0</v>
      </c>
      <c r="I131" s="583"/>
      <c r="J131" s="575">
        <f>'ведом. 2025-2027'!AF73</f>
        <v>0</v>
      </c>
      <c r="K131" s="441"/>
      <c r="L131" s="114"/>
      <c r="N131" s="114"/>
      <c r="O131" s="114"/>
    </row>
    <row r="132" spans="1:15" s="103" customFormat="1" x14ac:dyDescent="0.25">
      <c r="A132" s="252" t="s">
        <v>13</v>
      </c>
      <c r="B132" s="132" t="s">
        <v>28</v>
      </c>
      <c r="C132" s="331">
        <v>13</v>
      </c>
      <c r="D132" s="228"/>
      <c r="E132" s="334"/>
      <c r="F132" s="575">
        <f t="shared" ref="F132:K132" si="19">F133+F205+F211+F217</f>
        <v>277364.90000000002</v>
      </c>
      <c r="G132" s="441">
        <f t="shared" si="19"/>
        <v>1643.6</v>
      </c>
      <c r="H132" s="460">
        <f t="shared" si="19"/>
        <v>176681.9</v>
      </c>
      <c r="I132" s="583">
        <f t="shared" si="19"/>
        <v>2565</v>
      </c>
      <c r="J132" s="575">
        <f t="shared" si="19"/>
        <v>160417.79999999999</v>
      </c>
      <c r="K132" s="441">
        <f t="shared" si="19"/>
        <v>1663.2000000000003</v>
      </c>
      <c r="L132" s="114"/>
      <c r="N132" s="114"/>
      <c r="O132" s="114"/>
    </row>
    <row r="133" spans="1:15" s="103" customFormat="1" x14ac:dyDescent="0.25">
      <c r="A133" s="182" t="s">
        <v>184</v>
      </c>
      <c r="B133" s="132" t="s">
        <v>28</v>
      </c>
      <c r="C133" s="331">
        <v>13</v>
      </c>
      <c r="D133" s="116" t="s">
        <v>110</v>
      </c>
      <c r="E133" s="334"/>
      <c r="F133" s="575">
        <f t="shared" ref="F133:K133" si="20">F134+F162</f>
        <v>205544.3</v>
      </c>
      <c r="G133" s="441">
        <f t="shared" si="20"/>
        <v>1643</v>
      </c>
      <c r="H133" s="460">
        <f t="shared" si="20"/>
        <v>121621</v>
      </c>
      <c r="I133" s="583">
        <f t="shared" si="20"/>
        <v>1643.0000000000002</v>
      </c>
      <c r="J133" s="575">
        <f t="shared" si="20"/>
        <v>104795.9</v>
      </c>
      <c r="K133" s="441">
        <f t="shared" si="20"/>
        <v>1643.0000000000002</v>
      </c>
      <c r="L133" s="114"/>
      <c r="N133" s="114"/>
      <c r="O133" s="114"/>
    </row>
    <row r="134" spans="1:15" s="103" customFormat="1" x14ac:dyDescent="0.25">
      <c r="A134" s="182" t="s">
        <v>525</v>
      </c>
      <c r="B134" s="132" t="s">
        <v>28</v>
      </c>
      <c r="C134" s="331">
        <v>13</v>
      </c>
      <c r="D134" s="116" t="s">
        <v>111</v>
      </c>
      <c r="E134" s="334"/>
      <c r="F134" s="575">
        <f t="shared" ref="F134:K134" si="21">F135+F145+F151</f>
        <v>56773.3</v>
      </c>
      <c r="G134" s="441">
        <f t="shared" si="21"/>
        <v>1643</v>
      </c>
      <c r="H134" s="460">
        <f t="shared" si="21"/>
        <v>41687.699999999997</v>
      </c>
      <c r="I134" s="583">
        <f t="shared" si="21"/>
        <v>1643.0000000000002</v>
      </c>
      <c r="J134" s="575">
        <f t="shared" si="21"/>
        <v>27360.6</v>
      </c>
      <c r="K134" s="441">
        <f t="shared" si="21"/>
        <v>1643.0000000000002</v>
      </c>
      <c r="L134" s="114"/>
      <c r="N134" s="114"/>
      <c r="O134" s="114"/>
    </row>
    <row r="135" spans="1:15" s="103" customFormat="1" ht="31.5" x14ac:dyDescent="0.25">
      <c r="A135" s="183" t="s">
        <v>180</v>
      </c>
      <c r="B135" s="132" t="s">
        <v>28</v>
      </c>
      <c r="C135" s="331">
        <v>13</v>
      </c>
      <c r="D135" s="116" t="s">
        <v>181</v>
      </c>
      <c r="E135" s="334"/>
      <c r="F135" s="575">
        <f>F136</f>
        <v>26741.5</v>
      </c>
      <c r="G135" s="441"/>
      <c r="H135" s="460">
        <f>H136</f>
        <v>14527.099999999999</v>
      </c>
      <c r="I135" s="583"/>
      <c r="J135" s="575">
        <f>J136</f>
        <v>200</v>
      </c>
      <c r="K135" s="441"/>
      <c r="L135" s="114"/>
      <c r="N135" s="114"/>
      <c r="O135" s="114"/>
    </row>
    <row r="136" spans="1:15" s="103" customFormat="1" ht="36" customHeight="1" x14ac:dyDescent="0.25">
      <c r="A136" s="183" t="s">
        <v>756</v>
      </c>
      <c r="B136" s="132" t="s">
        <v>28</v>
      </c>
      <c r="C136" s="331">
        <v>13</v>
      </c>
      <c r="D136" s="116" t="s">
        <v>183</v>
      </c>
      <c r="E136" s="205"/>
      <c r="F136" s="575">
        <f>F137+F141+F139+F143</f>
        <v>26741.5</v>
      </c>
      <c r="G136" s="441"/>
      <c r="H136" s="460">
        <f>H137+H141+H139+H143</f>
        <v>14527.099999999999</v>
      </c>
      <c r="I136" s="583"/>
      <c r="J136" s="575">
        <f>J137+J141+J139+J143</f>
        <v>200</v>
      </c>
      <c r="K136" s="441"/>
      <c r="L136" s="114"/>
      <c r="N136" s="114"/>
      <c r="O136" s="114"/>
    </row>
    <row r="137" spans="1:15" s="103" customFormat="1" x14ac:dyDescent="0.25">
      <c r="A137" s="252" t="s">
        <v>118</v>
      </c>
      <c r="B137" s="132" t="s">
        <v>28</v>
      </c>
      <c r="C137" s="331">
        <v>13</v>
      </c>
      <c r="D137" s="116" t="s">
        <v>183</v>
      </c>
      <c r="E137" s="334">
        <v>200</v>
      </c>
      <c r="F137" s="575">
        <f>F138</f>
        <v>10610.6</v>
      </c>
      <c r="G137" s="441"/>
      <c r="H137" s="460">
        <f>H138</f>
        <v>700</v>
      </c>
      <c r="I137" s="583"/>
      <c r="J137" s="575">
        <f>J138</f>
        <v>200</v>
      </c>
      <c r="K137" s="441"/>
      <c r="L137" s="114"/>
      <c r="N137" s="114"/>
      <c r="O137" s="114"/>
    </row>
    <row r="138" spans="1:15" s="103" customFormat="1" ht="31.5" x14ac:dyDescent="0.25">
      <c r="A138" s="252" t="s">
        <v>51</v>
      </c>
      <c r="B138" s="132" t="s">
        <v>28</v>
      </c>
      <c r="C138" s="331">
        <v>13</v>
      </c>
      <c r="D138" s="116" t="s">
        <v>183</v>
      </c>
      <c r="E138" s="334">
        <v>240</v>
      </c>
      <c r="F138" s="575">
        <f>'ведом. 2025-2027'!AD644+'ведом. 2025-2027'!AD886+'ведом. 2025-2027'!AD80</f>
        <v>10610.6</v>
      </c>
      <c r="G138" s="441"/>
      <c r="H138" s="460">
        <f>'ведом. 2025-2027'!AE644+'ведом. 2025-2027'!AE886</f>
        <v>700</v>
      </c>
      <c r="I138" s="583"/>
      <c r="J138" s="575">
        <f>'ведом. 2025-2027'!AF644+'ведом. 2025-2027'!AF886</f>
        <v>200</v>
      </c>
      <c r="K138" s="441"/>
      <c r="L138" s="114"/>
      <c r="N138" s="114"/>
      <c r="O138" s="114"/>
    </row>
    <row r="139" spans="1:15" s="103" customFormat="1" x14ac:dyDescent="0.25">
      <c r="A139" s="255" t="s">
        <v>95</v>
      </c>
      <c r="B139" s="132" t="s">
        <v>28</v>
      </c>
      <c r="C139" s="331">
        <v>13</v>
      </c>
      <c r="D139" s="116" t="s">
        <v>183</v>
      </c>
      <c r="E139" s="334">
        <v>300</v>
      </c>
      <c r="F139" s="575">
        <f>F140</f>
        <v>1970.7999999999997</v>
      </c>
      <c r="G139" s="441"/>
      <c r="H139" s="460">
        <f>H140</f>
        <v>2279.1999999999998</v>
      </c>
      <c r="I139" s="583"/>
      <c r="J139" s="575">
        <f>J140</f>
        <v>0</v>
      </c>
      <c r="K139" s="441"/>
      <c r="L139" s="114"/>
      <c r="N139" s="114"/>
      <c r="O139" s="114"/>
    </row>
    <row r="140" spans="1:15" s="103" customFormat="1" x14ac:dyDescent="0.25">
      <c r="A140" s="255" t="s">
        <v>416</v>
      </c>
      <c r="B140" s="132" t="s">
        <v>28</v>
      </c>
      <c r="C140" s="331">
        <v>13</v>
      </c>
      <c r="D140" s="116" t="s">
        <v>183</v>
      </c>
      <c r="E140" s="334">
        <v>360</v>
      </c>
      <c r="F140" s="575">
        <f>'ведом. 2025-2027'!AD82</f>
        <v>1970.7999999999997</v>
      </c>
      <c r="G140" s="441"/>
      <c r="H140" s="460">
        <f>'ведом. 2025-2027'!AE82</f>
        <v>2279.1999999999998</v>
      </c>
      <c r="I140" s="583"/>
      <c r="J140" s="575">
        <f>'ведом. 2025-2027'!AF82</f>
        <v>0</v>
      </c>
      <c r="K140" s="441"/>
      <c r="L140" s="114"/>
      <c r="N140" s="114"/>
      <c r="O140" s="114"/>
    </row>
    <row r="141" spans="1:15" s="103" customFormat="1" ht="31.5" x14ac:dyDescent="0.25">
      <c r="A141" s="252" t="s">
        <v>59</v>
      </c>
      <c r="B141" s="132" t="s">
        <v>28</v>
      </c>
      <c r="C141" s="331">
        <v>13</v>
      </c>
      <c r="D141" s="116" t="s">
        <v>183</v>
      </c>
      <c r="E141" s="334">
        <v>600</v>
      </c>
      <c r="F141" s="575">
        <f>F142</f>
        <v>11547.9</v>
      </c>
      <c r="G141" s="441"/>
      <c r="H141" s="460">
        <f>H142</f>
        <v>11547.9</v>
      </c>
      <c r="I141" s="583"/>
      <c r="J141" s="575">
        <f>J142</f>
        <v>0</v>
      </c>
      <c r="K141" s="441"/>
      <c r="L141" s="114"/>
      <c r="N141" s="114"/>
      <c r="O141" s="114"/>
    </row>
    <row r="142" spans="1:15" s="103" customFormat="1" x14ac:dyDescent="0.25">
      <c r="A142" s="252" t="s">
        <v>60</v>
      </c>
      <c r="B142" s="132" t="s">
        <v>28</v>
      </c>
      <c r="C142" s="331">
        <v>13</v>
      </c>
      <c r="D142" s="116" t="s">
        <v>183</v>
      </c>
      <c r="E142" s="334">
        <v>610</v>
      </c>
      <c r="F142" s="575">
        <f>'ведом. 2025-2027'!AD84</f>
        <v>11547.9</v>
      </c>
      <c r="G142" s="441"/>
      <c r="H142" s="460">
        <f>'ведом. 2025-2027'!AE84</f>
        <v>11547.9</v>
      </c>
      <c r="I142" s="583"/>
      <c r="J142" s="575">
        <f>'ведом. 2025-2027'!AF84</f>
        <v>0</v>
      </c>
      <c r="K142" s="441"/>
      <c r="L142" s="114"/>
      <c r="N142" s="114"/>
      <c r="O142" s="114"/>
    </row>
    <row r="143" spans="1:15" s="103" customFormat="1" x14ac:dyDescent="0.25">
      <c r="A143" s="294" t="s">
        <v>41</v>
      </c>
      <c r="B143" s="132" t="s">
        <v>28</v>
      </c>
      <c r="C143" s="331">
        <v>13</v>
      </c>
      <c r="D143" s="116" t="s">
        <v>183</v>
      </c>
      <c r="E143" s="334">
        <v>800</v>
      </c>
      <c r="F143" s="575">
        <f>F144</f>
        <v>2612.1999999999998</v>
      </c>
      <c r="G143" s="441"/>
      <c r="H143" s="460">
        <f>H144</f>
        <v>0</v>
      </c>
      <c r="I143" s="583"/>
      <c r="J143" s="575">
        <f>J144</f>
        <v>0</v>
      </c>
      <c r="K143" s="441"/>
      <c r="L143" s="114"/>
      <c r="N143" s="114"/>
      <c r="O143" s="114"/>
    </row>
    <row r="144" spans="1:15" s="103" customFormat="1" x14ac:dyDescent="0.25">
      <c r="A144" s="294" t="s">
        <v>56</v>
      </c>
      <c r="B144" s="132" t="s">
        <v>28</v>
      </c>
      <c r="C144" s="331">
        <v>13</v>
      </c>
      <c r="D144" s="116" t="s">
        <v>183</v>
      </c>
      <c r="E144" s="334">
        <v>850</v>
      </c>
      <c r="F144" s="575">
        <f>'ведом. 2025-2027'!AD646</f>
        <v>2612.1999999999998</v>
      </c>
      <c r="G144" s="441"/>
      <c r="H144" s="460">
        <f>'ведом. 2025-2027'!AE646</f>
        <v>0</v>
      </c>
      <c r="I144" s="583"/>
      <c r="J144" s="575">
        <f>'ведом. 2025-2027'!AF646</f>
        <v>0</v>
      </c>
      <c r="K144" s="441"/>
      <c r="L144" s="114"/>
      <c r="N144" s="114"/>
      <c r="O144" s="114"/>
    </row>
    <row r="145" spans="1:15" s="103" customFormat="1" ht="47.25" x14ac:dyDescent="0.25">
      <c r="A145" s="307" t="s">
        <v>704</v>
      </c>
      <c r="B145" s="132" t="s">
        <v>28</v>
      </c>
      <c r="C145" s="331">
        <v>13</v>
      </c>
      <c r="D145" s="116" t="s">
        <v>185</v>
      </c>
      <c r="E145" s="553"/>
      <c r="F145" s="575">
        <f t="shared" ref="F145:K145" si="22">F146</f>
        <v>1643</v>
      </c>
      <c r="G145" s="441">
        <f t="shared" si="22"/>
        <v>1643</v>
      </c>
      <c r="H145" s="460">
        <f t="shared" si="22"/>
        <v>1643.0000000000002</v>
      </c>
      <c r="I145" s="583">
        <f t="shared" si="22"/>
        <v>1643.0000000000002</v>
      </c>
      <c r="J145" s="575">
        <f t="shared" si="22"/>
        <v>1643.0000000000002</v>
      </c>
      <c r="K145" s="441">
        <f t="shared" si="22"/>
        <v>1643.0000000000002</v>
      </c>
      <c r="L145" s="114"/>
      <c r="N145" s="114"/>
      <c r="O145" s="114"/>
    </row>
    <row r="146" spans="1:15" s="103" customFormat="1" ht="47.25" x14ac:dyDescent="0.25">
      <c r="A146" s="183" t="s">
        <v>600</v>
      </c>
      <c r="B146" s="132" t="s">
        <v>28</v>
      </c>
      <c r="C146" s="331">
        <v>13</v>
      </c>
      <c r="D146" s="116" t="s">
        <v>599</v>
      </c>
      <c r="E146" s="553"/>
      <c r="F146" s="575">
        <f t="shared" ref="F146:K146" si="23">F147+F149</f>
        <v>1643</v>
      </c>
      <c r="G146" s="441">
        <f t="shared" si="23"/>
        <v>1643</v>
      </c>
      <c r="H146" s="460">
        <f t="shared" si="23"/>
        <v>1643.0000000000002</v>
      </c>
      <c r="I146" s="583">
        <f t="shared" si="23"/>
        <v>1643.0000000000002</v>
      </c>
      <c r="J146" s="575">
        <f t="shared" si="23"/>
        <v>1643.0000000000002</v>
      </c>
      <c r="K146" s="441">
        <f t="shared" si="23"/>
        <v>1643.0000000000002</v>
      </c>
      <c r="L146" s="114"/>
      <c r="N146" s="114"/>
      <c r="O146" s="114"/>
    </row>
    <row r="147" spans="1:15" s="103" customFormat="1" ht="47.25" x14ac:dyDescent="0.25">
      <c r="A147" s="252" t="s">
        <v>40</v>
      </c>
      <c r="B147" s="132" t="s">
        <v>28</v>
      </c>
      <c r="C147" s="331">
        <v>13</v>
      </c>
      <c r="D147" s="116" t="s">
        <v>599</v>
      </c>
      <c r="E147" s="553">
        <v>100</v>
      </c>
      <c r="F147" s="575">
        <f t="shared" ref="F147:K147" si="24">F148</f>
        <v>1539.9</v>
      </c>
      <c r="G147" s="441">
        <f t="shared" si="24"/>
        <v>1539.9</v>
      </c>
      <c r="H147" s="460">
        <f t="shared" si="24"/>
        <v>1627.3000000000002</v>
      </c>
      <c r="I147" s="583">
        <f t="shared" si="24"/>
        <v>1627.3000000000002</v>
      </c>
      <c r="J147" s="575">
        <f t="shared" si="24"/>
        <v>1627.3000000000002</v>
      </c>
      <c r="K147" s="441">
        <f t="shared" si="24"/>
        <v>1627.3000000000002</v>
      </c>
      <c r="L147" s="114"/>
      <c r="N147" s="114"/>
      <c r="O147" s="114"/>
    </row>
    <row r="148" spans="1:15" s="103" customFormat="1" x14ac:dyDescent="0.25">
      <c r="A148" s="252" t="s">
        <v>94</v>
      </c>
      <c r="B148" s="132" t="s">
        <v>28</v>
      </c>
      <c r="C148" s="331">
        <v>13</v>
      </c>
      <c r="D148" s="116" t="s">
        <v>599</v>
      </c>
      <c r="E148" s="553">
        <v>120</v>
      </c>
      <c r="F148" s="575">
        <f>'ведом. 2025-2027'!AD650+'ведом. 2025-2027'!AD88</f>
        <v>1539.9</v>
      </c>
      <c r="G148" s="441">
        <f>F148</f>
        <v>1539.9</v>
      </c>
      <c r="H148" s="460">
        <f>'ведом. 2025-2027'!AE88+'ведом. 2025-2027'!AE650</f>
        <v>1627.3000000000002</v>
      </c>
      <c r="I148" s="583">
        <f>H148</f>
        <v>1627.3000000000002</v>
      </c>
      <c r="J148" s="575">
        <f>'ведом. 2025-2027'!AF88+'ведом. 2025-2027'!AF650</f>
        <v>1627.3000000000002</v>
      </c>
      <c r="K148" s="441">
        <f>J148</f>
        <v>1627.3000000000002</v>
      </c>
      <c r="L148" s="114"/>
      <c r="N148" s="114"/>
      <c r="O148" s="114"/>
    </row>
    <row r="149" spans="1:15" s="103" customFormat="1" x14ac:dyDescent="0.25">
      <c r="A149" s="252" t="s">
        <v>118</v>
      </c>
      <c r="B149" s="132" t="s">
        <v>28</v>
      </c>
      <c r="C149" s="331">
        <v>13</v>
      </c>
      <c r="D149" s="116" t="s">
        <v>599</v>
      </c>
      <c r="E149" s="553">
        <v>200</v>
      </c>
      <c r="F149" s="575">
        <f t="shared" ref="F149:K149" si="25">F150</f>
        <v>103.10000000000001</v>
      </c>
      <c r="G149" s="441">
        <f t="shared" si="25"/>
        <v>103.10000000000001</v>
      </c>
      <c r="H149" s="460">
        <f t="shared" si="25"/>
        <v>15.7</v>
      </c>
      <c r="I149" s="583">
        <f t="shared" si="25"/>
        <v>15.7</v>
      </c>
      <c r="J149" s="575">
        <f t="shared" si="25"/>
        <v>15.7</v>
      </c>
      <c r="K149" s="441">
        <f t="shared" si="25"/>
        <v>15.7</v>
      </c>
      <c r="L149" s="114"/>
      <c r="N149" s="114"/>
      <c r="O149" s="114"/>
    </row>
    <row r="150" spans="1:15" s="103" customFormat="1" ht="31.5" x14ac:dyDescent="0.25">
      <c r="A150" s="252" t="s">
        <v>51</v>
      </c>
      <c r="B150" s="132" t="s">
        <v>28</v>
      </c>
      <c r="C150" s="331">
        <v>13</v>
      </c>
      <c r="D150" s="116" t="s">
        <v>599</v>
      </c>
      <c r="E150" s="553">
        <v>240</v>
      </c>
      <c r="F150" s="575">
        <f>'ведом. 2025-2027'!AD652+'ведом. 2025-2027'!AD90</f>
        <v>103.10000000000001</v>
      </c>
      <c r="G150" s="441">
        <f>F150</f>
        <v>103.10000000000001</v>
      </c>
      <c r="H150" s="460">
        <f>'ведом. 2025-2027'!AE652+'ведом. 2025-2027'!AE90</f>
        <v>15.7</v>
      </c>
      <c r="I150" s="583">
        <f>H150</f>
        <v>15.7</v>
      </c>
      <c r="J150" s="575">
        <f>'ведом. 2025-2027'!AF652+'ведом. 2025-2027'!AF90</f>
        <v>15.7</v>
      </c>
      <c r="K150" s="441">
        <f>J150</f>
        <v>15.7</v>
      </c>
      <c r="L150" s="114"/>
      <c r="N150" s="114"/>
      <c r="O150" s="114"/>
    </row>
    <row r="151" spans="1:15" s="103" customFormat="1" ht="31.5" x14ac:dyDescent="0.25">
      <c r="A151" s="182" t="s">
        <v>323</v>
      </c>
      <c r="B151" s="132" t="s">
        <v>28</v>
      </c>
      <c r="C151" s="331">
        <v>13</v>
      </c>
      <c r="D151" s="116" t="s">
        <v>454</v>
      </c>
      <c r="E151" s="334"/>
      <c r="F151" s="575">
        <f>F152</f>
        <v>28388.800000000003</v>
      </c>
      <c r="G151" s="441"/>
      <c r="H151" s="460">
        <f>H152</f>
        <v>25517.599999999999</v>
      </c>
      <c r="I151" s="583"/>
      <c r="J151" s="575">
        <f>J152</f>
        <v>25517.599999999999</v>
      </c>
      <c r="K151" s="441"/>
      <c r="L151" s="114"/>
      <c r="N151" s="114"/>
      <c r="O151" s="114"/>
    </row>
    <row r="152" spans="1:15" s="103" customFormat="1" x14ac:dyDescent="0.25">
      <c r="A152" s="182" t="s">
        <v>326</v>
      </c>
      <c r="B152" s="132" t="s">
        <v>28</v>
      </c>
      <c r="C152" s="331">
        <v>13</v>
      </c>
      <c r="D152" s="116" t="s">
        <v>455</v>
      </c>
      <c r="E152" s="334"/>
      <c r="F152" s="575">
        <f>F153+F156+F159</f>
        <v>28388.800000000003</v>
      </c>
      <c r="G152" s="441"/>
      <c r="H152" s="460">
        <f>H153+H156+H159</f>
        <v>25517.599999999999</v>
      </c>
      <c r="I152" s="583"/>
      <c r="J152" s="575">
        <f>J153+J156+J159</f>
        <v>25517.599999999999</v>
      </c>
      <c r="K152" s="441"/>
      <c r="L152" s="114"/>
      <c r="N152" s="114"/>
      <c r="O152" s="114"/>
    </row>
    <row r="153" spans="1:15" s="103" customFormat="1" ht="31.5" x14ac:dyDescent="0.25">
      <c r="A153" s="182" t="s">
        <v>204</v>
      </c>
      <c r="B153" s="132" t="s">
        <v>28</v>
      </c>
      <c r="C153" s="331">
        <v>13</v>
      </c>
      <c r="D153" s="116" t="s">
        <v>456</v>
      </c>
      <c r="E153" s="334"/>
      <c r="F153" s="575">
        <f>F154</f>
        <v>3600.2000000000003</v>
      </c>
      <c r="G153" s="441"/>
      <c r="H153" s="460">
        <f>H154</f>
        <v>1785.8</v>
      </c>
      <c r="I153" s="583"/>
      <c r="J153" s="575">
        <f>J154</f>
        <v>1785.8</v>
      </c>
      <c r="K153" s="441"/>
      <c r="L153" s="114"/>
      <c r="N153" s="114"/>
      <c r="O153" s="114"/>
    </row>
    <row r="154" spans="1:15" s="103" customFormat="1" x14ac:dyDescent="0.25">
      <c r="A154" s="252" t="s">
        <v>118</v>
      </c>
      <c r="B154" s="132" t="s">
        <v>28</v>
      </c>
      <c r="C154" s="331">
        <v>13</v>
      </c>
      <c r="D154" s="116" t="s">
        <v>456</v>
      </c>
      <c r="E154" s="334">
        <v>200</v>
      </c>
      <c r="F154" s="575">
        <f>F155</f>
        <v>3600.2000000000003</v>
      </c>
      <c r="G154" s="441"/>
      <c r="H154" s="460">
        <f>H155</f>
        <v>1785.8</v>
      </c>
      <c r="I154" s="583"/>
      <c r="J154" s="575">
        <f>J155</f>
        <v>1785.8</v>
      </c>
      <c r="K154" s="441"/>
      <c r="L154" s="114"/>
      <c r="N154" s="114"/>
      <c r="O154" s="114"/>
    </row>
    <row r="155" spans="1:15" s="103" customFormat="1" ht="31.5" x14ac:dyDescent="0.25">
      <c r="A155" s="252" t="s">
        <v>51</v>
      </c>
      <c r="B155" s="132" t="s">
        <v>28</v>
      </c>
      <c r="C155" s="331">
        <v>13</v>
      </c>
      <c r="D155" s="116" t="s">
        <v>456</v>
      </c>
      <c r="E155" s="334">
        <v>240</v>
      </c>
      <c r="F155" s="575">
        <f>'ведом. 2025-2027'!AD657</f>
        <v>3600.2000000000003</v>
      </c>
      <c r="G155" s="441"/>
      <c r="H155" s="460">
        <f>'ведом. 2025-2027'!AE657</f>
        <v>1785.8</v>
      </c>
      <c r="I155" s="583"/>
      <c r="J155" s="575">
        <f>'ведом. 2025-2027'!AF657</f>
        <v>1785.8</v>
      </c>
      <c r="K155" s="441"/>
      <c r="L155" s="114"/>
      <c r="N155" s="114"/>
      <c r="O155" s="114"/>
    </row>
    <row r="156" spans="1:15" s="103" customFormat="1" ht="31.5" x14ac:dyDescent="0.25">
      <c r="A156" s="252" t="s">
        <v>205</v>
      </c>
      <c r="B156" s="132" t="s">
        <v>28</v>
      </c>
      <c r="C156" s="331">
        <v>13</v>
      </c>
      <c r="D156" s="21" t="str">
        <f>D157</f>
        <v>12 1 04 00132</v>
      </c>
      <c r="E156" s="334"/>
      <c r="F156" s="575">
        <f>F157</f>
        <v>8272.9</v>
      </c>
      <c r="G156" s="441"/>
      <c r="H156" s="460">
        <f>H157</f>
        <v>8211.2999999999993</v>
      </c>
      <c r="I156" s="583"/>
      <c r="J156" s="575">
        <f>J157</f>
        <v>8211.2999999999993</v>
      </c>
      <c r="K156" s="441"/>
      <c r="L156" s="114"/>
      <c r="N156" s="114"/>
      <c r="O156" s="114"/>
    </row>
    <row r="157" spans="1:15" s="103" customFormat="1" ht="47.25" x14ac:dyDescent="0.25">
      <c r="A157" s="252" t="s">
        <v>40</v>
      </c>
      <c r="B157" s="132" t="s">
        <v>28</v>
      </c>
      <c r="C157" s="331">
        <v>13</v>
      </c>
      <c r="D157" s="21" t="str">
        <f>D158</f>
        <v>12 1 04 00132</v>
      </c>
      <c r="E157" s="334">
        <v>100</v>
      </c>
      <c r="F157" s="575">
        <f>F158</f>
        <v>8272.9</v>
      </c>
      <c r="G157" s="441"/>
      <c r="H157" s="460">
        <f>H158</f>
        <v>8211.2999999999993</v>
      </c>
      <c r="I157" s="583"/>
      <c r="J157" s="575">
        <f>J158</f>
        <v>8211.2999999999993</v>
      </c>
      <c r="K157" s="441"/>
      <c r="L157" s="114"/>
      <c r="N157" s="114"/>
      <c r="O157" s="114"/>
    </row>
    <row r="158" spans="1:15" s="103" customFormat="1" x14ac:dyDescent="0.25">
      <c r="A158" s="252" t="s">
        <v>94</v>
      </c>
      <c r="B158" s="132" t="s">
        <v>28</v>
      </c>
      <c r="C158" s="331">
        <v>13</v>
      </c>
      <c r="D158" s="116" t="s">
        <v>457</v>
      </c>
      <c r="E158" s="334">
        <v>120</v>
      </c>
      <c r="F158" s="575">
        <f>'ведом. 2025-2027'!AD660</f>
        <v>8272.9</v>
      </c>
      <c r="G158" s="441"/>
      <c r="H158" s="460">
        <f>'ведом. 2025-2027'!AE660</f>
        <v>8211.2999999999993</v>
      </c>
      <c r="I158" s="583"/>
      <c r="J158" s="575">
        <f>'ведом. 2025-2027'!AF660</f>
        <v>8211.2999999999993</v>
      </c>
      <c r="K158" s="441"/>
      <c r="L158" s="114"/>
      <c r="N158" s="114"/>
      <c r="O158" s="114"/>
    </row>
    <row r="159" spans="1:15" s="103" customFormat="1" ht="31.5" x14ac:dyDescent="0.25">
      <c r="A159" s="252" t="s">
        <v>206</v>
      </c>
      <c r="B159" s="132" t="s">
        <v>28</v>
      </c>
      <c r="C159" s="331">
        <v>13</v>
      </c>
      <c r="D159" s="21" t="str">
        <f>D160</f>
        <v>12 1 04 00133</v>
      </c>
      <c r="E159" s="334"/>
      <c r="F159" s="575">
        <f>F160</f>
        <v>16515.7</v>
      </c>
      <c r="G159" s="441"/>
      <c r="H159" s="460">
        <f>H160</f>
        <v>15520.5</v>
      </c>
      <c r="I159" s="583"/>
      <c r="J159" s="575">
        <f>J160</f>
        <v>15520.5</v>
      </c>
      <c r="K159" s="441"/>
      <c r="L159" s="114"/>
      <c r="N159" s="114"/>
      <c r="O159" s="114"/>
    </row>
    <row r="160" spans="1:15" s="103" customFormat="1" ht="47.25" x14ac:dyDescent="0.25">
      <c r="A160" s="252" t="s">
        <v>40</v>
      </c>
      <c r="B160" s="132" t="s">
        <v>28</v>
      </c>
      <c r="C160" s="331">
        <v>13</v>
      </c>
      <c r="D160" s="21" t="str">
        <f>D161</f>
        <v>12 1 04 00133</v>
      </c>
      <c r="E160" s="334">
        <v>100</v>
      </c>
      <c r="F160" s="575">
        <f>F161</f>
        <v>16515.7</v>
      </c>
      <c r="G160" s="441"/>
      <c r="H160" s="460">
        <f>H161</f>
        <v>15520.5</v>
      </c>
      <c r="I160" s="583"/>
      <c r="J160" s="575">
        <f>J161</f>
        <v>15520.5</v>
      </c>
      <c r="K160" s="441"/>
      <c r="L160" s="114"/>
      <c r="N160" s="114"/>
      <c r="O160" s="114"/>
    </row>
    <row r="161" spans="1:15" s="103" customFormat="1" x14ac:dyDescent="0.25">
      <c r="A161" s="252" t="s">
        <v>94</v>
      </c>
      <c r="B161" s="132" t="s">
        <v>28</v>
      </c>
      <c r="C161" s="331">
        <v>13</v>
      </c>
      <c r="D161" s="116" t="s">
        <v>458</v>
      </c>
      <c r="E161" s="334">
        <v>120</v>
      </c>
      <c r="F161" s="575">
        <f>'ведом. 2025-2027'!AD663</f>
        <v>16515.7</v>
      </c>
      <c r="G161" s="441"/>
      <c r="H161" s="460">
        <f>'ведом. 2025-2027'!AE663</f>
        <v>15520.5</v>
      </c>
      <c r="I161" s="583"/>
      <c r="J161" s="575">
        <f>'ведом. 2025-2027'!AF663</f>
        <v>15520.5</v>
      </c>
      <c r="K161" s="441"/>
      <c r="L161" s="114"/>
      <c r="N161" s="114"/>
      <c r="O161" s="114"/>
    </row>
    <row r="162" spans="1:15" s="103" customFormat="1" x14ac:dyDescent="0.25">
      <c r="A162" s="182" t="s">
        <v>187</v>
      </c>
      <c r="B162" s="132" t="s">
        <v>28</v>
      </c>
      <c r="C162" s="331">
        <v>13</v>
      </c>
      <c r="D162" s="203" t="s">
        <v>188</v>
      </c>
      <c r="E162" s="334"/>
      <c r="F162" s="575">
        <f>F163+F201</f>
        <v>148770.99999999997</v>
      </c>
      <c r="G162" s="441"/>
      <c r="H162" s="460">
        <f>H163+H201</f>
        <v>79933.3</v>
      </c>
      <c r="I162" s="583"/>
      <c r="J162" s="575">
        <f>J163+J201</f>
        <v>77435.3</v>
      </c>
      <c r="K162" s="441"/>
      <c r="L162" s="114"/>
      <c r="N162" s="114"/>
      <c r="O162" s="114"/>
    </row>
    <row r="163" spans="1:15" s="103" customFormat="1" ht="31.5" x14ac:dyDescent="0.25">
      <c r="A163" s="182" t="s">
        <v>189</v>
      </c>
      <c r="B163" s="132" t="s">
        <v>28</v>
      </c>
      <c r="C163" s="331">
        <v>13</v>
      </c>
      <c r="D163" s="203" t="s">
        <v>190</v>
      </c>
      <c r="E163" s="334"/>
      <c r="F163" s="575">
        <f>F168+F181+F188+F171+F164+F178</f>
        <v>148693.59999999998</v>
      </c>
      <c r="G163" s="441"/>
      <c r="H163" s="460">
        <f t="shared" ref="H163:J163" si="26">H168+H181+H188+H171+H164+H178</f>
        <v>79850.400000000009</v>
      </c>
      <c r="I163" s="583"/>
      <c r="J163" s="575">
        <f t="shared" si="26"/>
        <v>77350.400000000009</v>
      </c>
      <c r="K163" s="441"/>
      <c r="L163" s="114"/>
      <c r="N163" s="114"/>
      <c r="O163" s="114"/>
    </row>
    <row r="164" spans="1:15" s="103" customFormat="1" x14ac:dyDescent="0.25">
      <c r="A164" s="299" t="s">
        <v>193</v>
      </c>
      <c r="B164" s="509" t="s">
        <v>28</v>
      </c>
      <c r="C164" s="297">
        <v>13</v>
      </c>
      <c r="D164" s="409" t="s">
        <v>194</v>
      </c>
      <c r="E164" s="552"/>
      <c r="F164" s="575">
        <f>F166</f>
        <v>0</v>
      </c>
      <c r="G164" s="441"/>
      <c r="H164" s="460">
        <f>H166</f>
        <v>2500</v>
      </c>
      <c r="I164" s="583"/>
      <c r="J164" s="575">
        <f>J166</f>
        <v>0</v>
      </c>
      <c r="K164" s="441"/>
      <c r="L164" s="114"/>
      <c r="N164" s="114"/>
      <c r="O164" s="114"/>
    </row>
    <row r="165" spans="1:15" s="103" customFormat="1" ht="31.5" x14ac:dyDescent="0.25">
      <c r="A165" s="294" t="s">
        <v>195</v>
      </c>
      <c r="B165" s="509" t="s">
        <v>28</v>
      </c>
      <c r="C165" s="297">
        <v>13</v>
      </c>
      <c r="D165" s="409" t="s">
        <v>196</v>
      </c>
      <c r="E165" s="552"/>
      <c r="F165" s="575">
        <f>F166</f>
        <v>0</v>
      </c>
      <c r="G165" s="441"/>
      <c r="H165" s="460">
        <f>H166</f>
        <v>2500</v>
      </c>
      <c r="I165" s="583"/>
      <c r="J165" s="575">
        <f>J166</f>
        <v>0</v>
      </c>
      <c r="K165" s="441"/>
      <c r="L165" s="114"/>
      <c r="N165" s="114"/>
      <c r="O165" s="114"/>
    </row>
    <row r="166" spans="1:15" s="103" customFormat="1" x14ac:dyDescent="0.25">
      <c r="A166" s="294" t="s">
        <v>118</v>
      </c>
      <c r="B166" s="509" t="s">
        <v>28</v>
      </c>
      <c r="C166" s="297">
        <v>13</v>
      </c>
      <c r="D166" s="409" t="s">
        <v>196</v>
      </c>
      <c r="E166" s="554">
        <v>200</v>
      </c>
      <c r="F166" s="575">
        <f>F167</f>
        <v>0</v>
      </c>
      <c r="G166" s="441"/>
      <c r="H166" s="460">
        <f>H167</f>
        <v>2500</v>
      </c>
      <c r="I166" s="583"/>
      <c r="J166" s="575">
        <f>J167</f>
        <v>0</v>
      </c>
      <c r="K166" s="441"/>
      <c r="L166" s="114"/>
      <c r="N166" s="114"/>
      <c r="O166" s="114"/>
    </row>
    <row r="167" spans="1:15" s="103" customFormat="1" ht="18.75" customHeight="1" x14ac:dyDescent="0.25">
      <c r="A167" s="294" t="s">
        <v>51</v>
      </c>
      <c r="B167" s="509" t="s">
        <v>28</v>
      </c>
      <c r="C167" s="297">
        <v>13</v>
      </c>
      <c r="D167" s="409" t="s">
        <v>196</v>
      </c>
      <c r="E167" s="554">
        <v>240</v>
      </c>
      <c r="F167" s="575">
        <f>'ведом. 2025-2027'!AD892</f>
        <v>0</v>
      </c>
      <c r="G167" s="441"/>
      <c r="H167" s="460">
        <f>'ведом. 2025-2027'!AE892</f>
        <v>2500</v>
      </c>
      <c r="I167" s="583"/>
      <c r="J167" s="575">
        <f>'ведом. 2025-2027'!AF892</f>
        <v>0</v>
      </c>
      <c r="K167" s="441"/>
      <c r="L167" s="114"/>
      <c r="N167" s="114"/>
      <c r="O167" s="114"/>
    </row>
    <row r="168" spans="1:15" s="103" customFormat="1" x14ac:dyDescent="0.25">
      <c r="A168" s="183" t="s">
        <v>221</v>
      </c>
      <c r="B168" s="132" t="s">
        <v>28</v>
      </c>
      <c r="C168" s="331">
        <v>13</v>
      </c>
      <c r="D168" s="203" t="s">
        <v>222</v>
      </c>
      <c r="E168" s="334"/>
      <c r="F168" s="575">
        <f>F169</f>
        <v>160</v>
      </c>
      <c r="G168" s="441"/>
      <c r="H168" s="460">
        <f>H169</f>
        <v>160</v>
      </c>
      <c r="I168" s="583"/>
      <c r="J168" s="575">
        <f>J169</f>
        <v>160</v>
      </c>
      <c r="K168" s="441"/>
      <c r="L168" s="114"/>
      <c r="N168" s="114"/>
      <c r="O168" s="114"/>
    </row>
    <row r="169" spans="1:15" s="103" customFormat="1" x14ac:dyDescent="0.25">
      <c r="A169" s="252" t="s">
        <v>41</v>
      </c>
      <c r="B169" s="132" t="s">
        <v>28</v>
      </c>
      <c r="C169" s="331">
        <v>13</v>
      </c>
      <c r="D169" s="203" t="s">
        <v>222</v>
      </c>
      <c r="E169" s="334">
        <v>800</v>
      </c>
      <c r="F169" s="575">
        <f>F170</f>
        <v>160</v>
      </c>
      <c r="G169" s="441"/>
      <c r="H169" s="460">
        <f>H170</f>
        <v>160</v>
      </c>
      <c r="I169" s="583"/>
      <c r="J169" s="575">
        <f>J170</f>
        <v>160</v>
      </c>
      <c r="K169" s="441"/>
      <c r="L169" s="114"/>
      <c r="N169" s="114"/>
      <c r="O169" s="114"/>
    </row>
    <row r="170" spans="1:15" s="103" customFormat="1" x14ac:dyDescent="0.25">
      <c r="A170" s="252" t="s">
        <v>56</v>
      </c>
      <c r="B170" s="132" t="s">
        <v>28</v>
      </c>
      <c r="C170" s="331">
        <v>13</v>
      </c>
      <c r="D170" s="203" t="s">
        <v>222</v>
      </c>
      <c r="E170" s="334">
        <v>850</v>
      </c>
      <c r="F170" s="575">
        <f>'ведом. 2025-2027'!AD95</f>
        <v>160</v>
      </c>
      <c r="G170" s="441"/>
      <c r="H170" s="460">
        <f>'ведом. 2025-2027'!AE95</f>
        <v>160</v>
      </c>
      <c r="I170" s="583"/>
      <c r="J170" s="575">
        <f>'ведом. 2025-2027'!AF95</f>
        <v>160</v>
      </c>
      <c r="K170" s="441"/>
      <c r="L170" s="114"/>
      <c r="N170" s="114"/>
      <c r="O170" s="114"/>
    </row>
    <row r="171" spans="1:15" s="103" customFormat="1" ht="31.5" x14ac:dyDescent="0.25">
      <c r="A171" s="184" t="s">
        <v>546</v>
      </c>
      <c r="B171" s="132" t="s">
        <v>28</v>
      </c>
      <c r="C171" s="331">
        <v>13</v>
      </c>
      <c r="D171" s="203" t="s">
        <v>545</v>
      </c>
      <c r="E171" s="334"/>
      <c r="F171" s="575">
        <f>F172+F174+F176</f>
        <v>17438.399999999998</v>
      </c>
      <c r="G171" s="441"/>
      <c r="H171" s="460">
        <f>H172+H174+H176</f>
        <v>13813</v>
      </c>
      <c r="I171" s="583"/>
      <c r="J171" s="575">
        <f>J172+J174+J176</f>
        <v>13813</v>
      </c>
      <c r="K171" s="441"/>
      <c r="L171" s="114"/>
      <c r="N171" s="114"/>
      <c r="O171" s="114"/>
    </row>
    <row r="172" spans="1:15" s="103" customFormat="1" ht="47.25" x14ac:dyDescent="0.25">
      <c r="A172" s="255" t="s">
        <v>40</v>
      </c>
      <c r="B172" s="132" t="s">
        <v>28</v>
      </c>
      <c r="C172" s="331">
        <v>13</v>
      </c>
      <c r="D172" s="203" t="s">
        <v>545</v>
      </c>
      <c r="E172" s="207" t="s">
        <v>125</v>
      </c>
      <c r="F172" s="575">
        <f>F173</f>
        <v>16527.099999999999</v>
      </c>
      <c r="G172" s="441"/>
      <c r="H172" s="460">
        <f>H173</f>
        <v>12901.7</v>
      </c>
      <c r="I172" s="583"/>
      <c r="J172" s="575">
        <f>J173</f>
        <v>12901.7</v>
      </c>
      <c r="K172" s="441"/>
      <c r="L172" s="114"/>
      <c r="N172" s="114"/>
      <c r="O172" s="114"/>
    </row>
    <row r="173" spans="1:15" s="103" customFormat="1" x14ac:dyDescent="0.25">
      <c r="A173" s="255" t="s">
        <v>67</v>
      </c>
      <c r="B173" s="132" t="s">
        <v>28</v>
      </c>
      <c r="C173" s="331">
        <v>13</v>
      </c>
      <c r="D173" s="203" t="s">
        <v>545</v>
      </c>
      <c r="E173" s="207" t="s">
        <v>126</v>
      </c>
      <c r="F173" s="575">
        <f>'ведом. 2025-2027'!AD98</f>
        <v>16527.099999999999</v>
      </c>
      <c r="G173" s="441"/>
      <c r="H173" s="460">
        <f>'ведом. 2025-2027'!AE98</f>
        <v>12901.7</v>
      </c>
      <c r="I173" s="583"/>
      <c r="J173" s="575">
        <f>'ведом. 2025-2027'!AF98</f>
        <v>12901.7</v>
      </c>
      <c r="K173" s="441"/>
      <c r="L173" s="114"/>
      <c r="N173" s="114"/>
      <c r="O173" s="114"/>
    </row>
    <row r="174" spans="1:15" s="103" customFormat="1" x14ac:dyDescent="0.25">
      <c r="A174" s="255" t="s">
        <v>118</v>
      </c>
      <c r="B174" s="132" t="s">
        <v>28</v>
      </c>
      <c r="C174" s="331">
        <v>13</v>
      </c>
      <c r="D174" s="203" t="s">
        <v>545</v>
      </c>
      <c r="E174" s="207" t="s">
        <v>36</v>
      </c>
      <c r="F174" s="575">
        <f>F175</f>
        <v>829.3</v>
      </c>
      <c r="G174" s="441"/>
      <c r="H174" s="460">
        <f>H175</f>
        <v>911.3</v>
      </c>
      <c r="I174" s="583"/>
      <c r="J174" s="575">
        <f>J175</f>
        <v>911.3</v>
      </c>
      <c r="K174" s="441"/>
      <c r="L174" s="114"/>
      <c r="N174" s="114"/>
      <c r="O174" s="114"/>
    </row>
    <row r="175" spans="1:15" s="103" customFormat="1" ht="31.5" x14ac:dyDescent="0.25">
      <c r="A175" s="255" t="s">
        <v>51</v>
      </c>
      <c r="B175" s="132" t="s">
        <v>28</v>
      </c>
      <c r="C175" s="331">
        <v>13</v>
      </c>
      <c r="D175" s="203" t="s">
        <v>545</v>
      </c>
      <c r="E175" s="207" t="s">
        <v>64</v>
      </c>
      <c r="F175" s="575">
        <f>'ведом. 2025-2027'!AD100</f>
        <v>829.3</v>
      </c>
      <c r="G175" s="441"/>
      <c r="H175" s="460">
        <f>'ведом. 2025-2027'!AF100</f>
        <v>911.3</v>
      </c>
      <c r="I175" s="583"/>
      <c r="J175" s="575">
        <f>'ведом. 2025-2027'!AF100</f>
        <v>911.3</v>
      </c>
      <c r="K175" s="441"/>
      <c r="L175" s="114"/>
      <c r="N175" s="114"/>
      <c r="O175" s="114"/>
    </row>
    <row r="176" spans="1:15" s="103" customFormat="1" x14ac:dyDescent="0.25">
      <c r="A176" s="294" t="s">
        <v>41</v>
      </c>
      <c r="B176" s="509" t="s">
        <v>28</v>
      </c>
      <c r="C176" s="297">
        <v>13</v>
      </c>
      <c r="D176" s="503" t="s">
        <v>545</v>
      </c>
      <c r="E176" s="555" t="s">
        <v>342</v>
      </c>
      <c r="F176" s="575">
        <f>F177</f>
        <v>82</v>
      </c>
      <c r="G176" s="441"/>
      <c r="H176" s="460">
        <f>H177</f>
        <v>0</v>
      </c>
      <c r="I176" s="583"/>
      <c r="J176" s="575">
        <f>J177</f>
        <v>0</v>
      </c>
      <c r="K176" s="441"/>
      <c r="L176" s="114"/>
      <c r="N176" s="114"/>
      <c r="O176" s="114"/>
    </row>
    <row r="177" spans="1:15" s="103" customFormat="1" x14ac:dyDescent="0.25">
      <c r="A177" s="294" t="s">
        <v>56</v>
      </c>
      <c r="B177" s="509" t="s">
        <v>28</v>
      </c>
      <c r="C177" s="297">
        <v>13</v>
      </c>
      <c r="D177" s="503" t="s">
        <v>545</v>
      </c>
      <c r="E177" s="555" t="s">
        <v>805</v>
      </c>
      <c r="F177" s="575">
        <f>'ведом. 2025-2027'!AD102</f>
        <v>82</v>
      </c>
      <c r="G177" s="441"/>
      <c r="H177" s="460">
        <f>'ведом. 2025-2027'!AE102</f>
        <v>0</v>
      </c>
      <c r="I177" s="583"/>
      <c r="J177" s="575">
        <f>'ведом. 2025-2027'!AF102</f>
        <v>0</v>
      </c>
      <c r="K177" s="441"/>
      <c r="L177" s="114"/>
      <c r="N177" s="114"/>
      <c r="O177" s="114"/>
    </row>
    <row r="178" spans="1:15" s="103" customFormat="1" ht="47.25" x14ac:dyDescent="0.25">
      <c r="A178" s="294" t="s">
        <v>896</v>
      </c>
      <c r="B178" s="509" t="s">
        <v>28</v>
      </c>
      <c r="C178" s="297">
        <v>13</v>
      </c>
      <c r="D178" s="503" t="s">
        <v>897</v>
      </c>
      <c r="E178" s="555"/>
      <c r="F178" s="575">
        <f>F179</f>
        <v>0</v>
      </c>
      <c r="G178" s="441"/>
      <c r="H178" s="460">
        <f t="shared" ref="H178:J178" si="27">H179</f>
        <v>19939</v>
      </c>
      <c r="I178" s="583"/>
      <c r="J178" s="575">
        <f t="shared" si="27"/>
        <v>0</v>
      </c>
      <c r="K178" s="441"/>
      <c r="L178" s="114"/>
      <c r="N178" s="114"/>
      <c r="O178" s="114"/>
    </row>
    <row r="179" spans="1:15" s="103" customFormat="1" x14ac:dyDescent="0.25">
      <c r="A179" s="294" t="s">
        <v>118</v>
      </c>
      <c r="B179" s="509" t="s">
        <v>28</v>
      </c>
      <c r="C179" s="297">
        <v>13</v>
      </c>
      <c r="D179" s="503" t="s">
        <v>897</v>
      </c>
      <c r="E179" s="555" t="s">
        <v>36</v>
      </c>
      <c r="F179" s="575">
        <f>F180</f>
        <v>0</v>
      </c>
      <c r="G179" s="441"/>
      <c r="H179" s="460">
        <f t="shared" ref="H179:J179" si="28">H180</f>
        <v>19939</v>
      </c>
      <c r="I179" s="583"/>
      <c r="J179" s="575">
        <f t="shared" si="28"/>
        <v>0</v>
      </c>
      <c r="K179" s="441"/>
      <c r="L179" s="114"/>
      <c r="N179" s="114"/>
      <c r="O179" s="114"/>
    </row>
    <row r="180" spans="1:15" s="103" customFormat="1" ht="31.5" x14ac:dyDescent="0.25">
      <c r="A180" s="294" t="s">
        <v>51</v>
      </c>
      <c r="B180" s="509" t="s">
        <v>28</v>
      </c>
      <c r="C180" s="297">
        <v>13</v>
      </c>
      <c r="D180" s="503" t="s">
        <v>897</v>
      </c>
      <c r="E180" s="555" t="s">
        <v>64</v>
      </c>
      <c r="F180" s="575">
        <f>'ведом. 2025-2027'!AD105</f>
        <v>0</v>
      </c>
      <c r="G180" s="441"/>
      <c r="H180" s="460">
        <f>'ведом. 2025-2027'!AE105</f>
        <v>19939</v>
      </c>
      <c r="I180" s="583"/>
      <c r="J180" s="575">
        <f>'ведом. 2025-2027'!AF105</f>
        <v>0</v>
      </c>
      <c r="K180" s="441"/>
      <c r="L180" s="114"/>
      <c r="N180" s="114"/>
      <c r="O180" s="114"/>
    </row>
    <row r="181" spans="1:15" s="103" customFormat="1" ht="31.5" x14ac:dyDescent="0.25">
      <c r="A181" s="183" t="s">
        <v>215</v>
      </c>
      <c r="B181" s="9" t="s">
        <v>28</v>
      </c>
      <c r="C181" s="131">
        <v>13</v>
      </c>
      <c r="D181" s="203" t="s">
        <v>216</v>
      </c>
      <c r="E181" s="205"/>
      <c r="F181" s="575">
        <f>F186+F182+F184</f>
        <v>32171.8</v>
      </c>
      <c r="G181" s="441"/>
      <c r="H181" s="460">
        <f>H186+H182+H184</f>
        <v>6451.2000000000016</v>
      </c>
      <c r="I181" s="583"/>
      <c r="J181" s="575">
        <f>J186+J182+J184</f>
        <v>26390.2</v>
      </c>
      <c r="K181" s="441"/>
      <c r="L181" s="114"/>
      <c r="N181" s="114"/>
      <c r="O181" s="114"/>
    </row>
    <row r="182" spans="1:15" s="103" customFormat="1" ht="47.25" x14ac:dyDescent="0.25">
      <c r="A182" s="252" t="s">
        <v>40</v>
      </c>
      <c r="B182" s="509" t="s">
        <v>28</v>
      </c>
      <c r="C182" s="297">
        <v>13</v>
      </c>
      <c r="D182" s="203" t="s">
        <v>216</v>
      </c>
      <c r="E182" s="555" t="s">
        <v>125</v>
      </c>
      <c r="F182" s="575">
        <f>F183</f>
        <v>18810</v>
      </c>
      <c r="G182" s="441"/>
      <c r="H182" s="460">
        <f>H183</f>
        <v>4979.4000000000015</v>
      </c>
      <c r="I182" s="583"/>
      <c r="J182" s="575">
        <f>J183</f>
        <v>24918.400000000001</v>
      </c>
      <c r="K182" s="441"/>
      <c r="L182" s="114"/>
      <c r="N182" s="114"/>
      <c r="O182" s="114"/>
    </row>
    <row r="183" spans="1:15" s="103" customFormat="1" x14ac:dyDescent="0.25">
      <c r="A183" s="252" t="s">
        <v>67</v>
      </c>
      <c r="B183" s="509" t="s">
        <v>28</v>
      </c>
      <c r="C183" s="297">
        <v>13</v>
      </c>
      <c r="D183" s="203" t="s">
        <v>216</v>
      </c>
      <c r="E183" s="555" t="s">
        <v>126</v>
      </c>
      <c r="F183" s="575">
        <f>'ведом. 2025-2027'!AD108</f>
        <v>18810</v>
      </c>
      <c r="G183" s="441"/>
      <c r="H183" s="460">
        <f>'ведом. 2025-2027'!AE108</f>
        <v>4979.4000000000015</v>
      </c>
      <c r="I183" s="583"/>
      <c r="J183" s="575">
        <f>'ведом. 2025-2027'!AF108</f>
        <v>24918.400000000001</v>
      </c>
      <c r="K183" s="441"/>
      <c r="L183" s="114"/>
      <c r="N183" s="114"/>
      <c r="O183" s="114"/>
    </row>
    <row r="184" spans="1:15" s="103" customFormat="1" x14ac:dyDescent="0.25">
      <c r="A184" s="252" t="s">
        <v>118</v>
      </c>
      <c r="B184" s="509" t="s">
        <v>28</v>
      </c>
      <c r="C184" s="297">
        <v>13</v>
      </c>
      <c r="D184" s="203" t="s">
        <v>216</v>
      </c>
      <c r="E184" s="555" t="s">
        <v>36</v>
      </c>
      <c r="F184" s="575">
        <f>F185</f>
        <v>756.1</v>
      </c>
      <c r="G184" s="441"/>
      <c r="H184" s="460">
        <f>H185</f>
        <v>1471.8</v>
      </c>
      <c r="I184" s="583"/>
      <c r="J184" s="575">
        <f>J185</f>
        <v>1471.8</v>
      </c>
      <c r="K184" s="441"/>
      <c r="L184" s="114"/>
      <c r="N184" s="114"/>
      <c r="O184" s="114"/>
    </row>
    <row r="185" spans="1:15" s="103" customFormat="1" ht="31.5" x14ac:dyDescent="0.25">
      <c r="A185" s="252" t="s">
        <v>51</v>
      </c>
      <c r="B185" s="509" t="s">
        <v>28</v>
      </c>
      <c r="C185" s="297">
        <v>13</v>
      </c>
      <c r="D185" s="203" t="s">
        <v>216</v>
      </c>
      <c r="E185" s="555" t="s">
        <v>64</v>
      </c>
      <c r="F185" s="575">
        <f>'ведом. 2025-2027'!AD110</f>
        <v>756.1</v>
      </c>
      <c r="G185" s="441"/>
      <c r="H185" s="460">
        <f>'ведом. 2025-2027'!AE110</f>
        <v>1471.8</v>
      </c>
      <c r="I185" s="583"/>
      <c r="J185" s="575">
        <f>'ведом. 2025-2027'!AF110</f>
        <v>1471.8</v>
      </c>
      <c r="K185" s="441"/>
      <c r="L185" s="114"/>
      <c r="N185" s="114"/>
      <c r="O185" s="114"/>
    </row>
    <row r="186" spans="1:15" s="103" customFormat="1" ht="31.5" x14ac:dyDescent="0.25">
      <c r="A186" s="252" t="s">
        <v>59</v>
      </c>
      <c r="B186" s="9" t="s">
        <v>28</v>
      </c>
      <c r="C186" s="131">
        <v>13</v>
      </c>
      <c r="D186" s="203" t="s">
        <v>216</v>
      </c>
      <c r="E186" s="556">
        <v>600</v>
      </c>
      <c r="F186" s="575">
        <f>F187</f>
        <v>12605.7</v>
      </c>
      <c r="G186" s="441"/>
      <c r="H186" s="460">
        <f>H187</f>
        <v>0</v>
      </c>
      <c r="I186" s="583"/>
      <c r="J186" s="575">
        <f>J187</f>
        <v>0</v>
      </c>
      <c r="K186" s="441"/>
      <c r="L186" s="114"/>
      <c r="N186" s="114"/>
      <c r="O186" s="114"/>
    </row>
    <row r="187" spans="1:15" s="103" customFormat="1" x14ac:dyDescent="0.25">
      <c r="A187" s="252" t="s">
        <v>60</v>
      </c>
      <c r="B187" s="9" t="s">
        <v>28</v>
      </c>
      <c r="C187" s="131">
        <v>13</v>
      </c>
      <c r="D187" s="203" t="s">
        <v>216</v>
      </c>
      <c r="E187" s="556">
        <v>610</v>
      </c>
      <c r="F187" s="575">
        <f>'ведом. 2025-2027'!AD699</f>
        <v>12605.7</v>
      </c>
      <c r="G187" s="441"/>
      <c r="H187" s="460">
        <f>'ведом. 2025-2027'!AE699</f>
        <v>0</v>
      </c>
      <c r="I187" s="583"/>
      <c r="J187" s="575">
        <f>'ведом. 2025-2027'!AF699</f>
        <v>0</v>
      </c>
      <c r="K187" s="441"/>
      <c r="L187" s="114"/>
      <c r="N187" s="114"/>
      <c r="O187" s="114"/>
    </row>
    <row r="188" spans="1:15" s="103" customFormat="1" ht="31.5" x14ac:dyDescent="0.25">
      <c r="A188" s="183" t="s">
        <v>201</v>
      </c>
      <c r="B188" s="132" t="s">
        <v>28</v>
      </c>
      <c r="C188" s="331">
        <v>13</v>
      </c>
      <c r="D188" s="203" t="s">
        <v>202</v>
      </c>
      <c r="E188" s="334"/>
      <c r="F188" s="575">
        <f>F189+F194</f>
        <v>98923.4</v>
      </c>
      <c r="G188" s="441"/>
      <c r="H188" s="460">
        <f>H189+H194</f>
        <v>36987.200000000004</v>
      </c>
      <c r="I188" s="583"/>
      <c r="J188" s="575">
        <f>J189+J194</f>
        <v>36987.200000000004</v>
      </c>
      <c r="K188" s="441"/>
      <c r="L188" s="114"/>
      <c r="N188" s="114"/>
      <c r="O188" s="114"/>
    </row>
    <row r="189" spans="1:15" s="103" customFormat="1" ht="47.25" x14ac:dyDescent="0.25">
      <c r="A189" s="252" t="s">
        <v>217</v>
      </c>
      <c r="B189" s="132" t="s">
        <v>28</v>
      </c>
      <c r="C189" s="331">
        <v>13</v>
      </c>
      <c r="D189" s="203" t="s">
        <v>218</v>
      </c>
      <c r="E189" s="207"/>
      <c r="F189" s="575">
        <f>F190+F192</f>
        <v>79325.799999999988</v>
      </c>
      <c r="G189" s="441"/>
      <c r="H189" s="460">
        <f>H190+H192</f>
        <v>27679.600000000002</v>
      </c>
      <c r="I189" s="583"/>
      <c r="J189" s="575">
        <f>J190+J192</f>
        <v>27679.600000000002</v>
      </c>
      <c r="K189" s="441"/>
      <c r="L189" s="114"/>
      <c r="N189" s="114"/>
      <c r="O189" s="114"/>
    </row>
    <row r="190" spans="1:15" s="103" customFormat="1" ht="47.25" x14ac:dyDescent="0.25">
      <c r="A190" s="252" t="s">
        <v>40</v>
      </c>
      <c r="B190" s="132" t="s">
        <v>28</v>
      </c>
      <c r="C190" s="331">
        <v>13</v>
      </c>
      <c r="D190" s="203" t="s">
        <v>218</v>
      </c>
      <c r="E190" s="207" t="s">
        <v>125</v>
      </c>
      <c r="F190" s="575">
        <f>F191</f>
        <v>78583.899999999994</v>
      </c>
      <c r="G190" s="441"/>
      <c r="H190" s="460">
        <f>H191</f>
        <v>26937.7</v>
      </c>
      <c r="I190" s="583"/>
      <c r="J190" s="575">
        <f>'ведом. 2025-2027'!AF113</f>
        <v>26937.7</v>
      </c>
      <c r="K190" s="441"/>
      <c r="L190" s="114"/>
      <c r="N190" s="114"/>
      <c r="O190" s="114"/>
    </row>
    <row r="191" spans="1:15" s="103" customFormat="1" x14ac:dyDescent="0.25">
      <c r="A191" s="252" t="s">
        <v>67</v>
      </c>
      <c r="B191" s="132" t="s">
        <v>28</v>
      </c>
      <c r="C191" s="331">
        <v>13</v>
      </c>
      <c r="D191" s="203" t="s">
        <v>218</v>
      </c>
      <c r="E191" s="207" t="s">
        <v>126</v>
      </c>
      <c r="F191" s="575">
        <f>'ведом. 2025-2027'!AD114</f>
        <v>78583.899999999994</v>
      </c>
      <c r="G191" s="441"/>
      <c r="H191" s="460">
        <f>'ведом. 2025-2027'!AE114</f>
        <v>26937.7</v>
      </c>
      <c r="I191" s="583"/>
      <c r="J191" s="575">
        <f>'ведом. 2025-2027'!AF114</f>
        <v>26937.7</v>
      </c>
      <c r="K191" s="441"/>
      <c r="L191" s="114"/>
      <c r="N191" s="114"/>
      <c r="O191" s="114"/>
    </row>
    <row r="192" spans="1:15" s="103" customFormat="1" x14ac:dyDescent="0.25">
      <c r="A192" s="252" t="s">
        <v>118</v>
      </c>
      <c r="B192" s="132" t="s">
        <v>28</v>
      </c>
      <c r="C192" s="331">
        <v>13</v>
      </c>
      <c r="D192" s="203" t="s">
        <v>218</v>
      </c>
      <c r="E192" s="207" t="s">
        <v>36</v>
      </c>
      <c r="F192" s="575">
        <f>F193</f>
        <v>741.9</v>
      </c>
      <c r="G192" s="441"/>
      <c r="H192" s="460">
        <f>H193</f>
        <v>741.9</v>
      </c>
      <c r="I192" s="583"/>
      <c r="J192" s="575">
        <f>'ведом. 2025-2027'!AF115</f>
        <v>741.9</v>
      </c>
      <c r="K192" s="441"/>
      <c r="L192" s="114"/>
      <c r="N192" s="114"/>
      <c r="O192" s="114"/>
    </row>
    <row r="193" spans="1:15" s="103" customFormat="1" ht="31.5" x14ac:dyDescent="0.25">
      <c r="A193" s="252" t="s">
        <v>51</v>
      </c>
      <c r="B193" s="132" t="s">
        <v>28</v>
      </c>
      <c r="C193" s="331">
        <v>13</v>
      </c>
      <c r="D193" s="203" t="s">
        <v>218</v>
      </c>
      <c r="E193" s="207" t="s">
        <v>64</v>
      </c>
      <c r="F193" s="575">
        <f>'ведом. 2025-2027'!AD116</f>
        <v>741.9</v>
      </c>
      <c r="G193" s="441"/>
      <c r="H193" s="460">
        <f>'ведом. 2025-2027'!AE116</f>
        <v>741.9</v>
      </c>
      <c r="I193" s="583"/>
      <c r="J193" s="575">
        <f>'ведом. 2025-2027'!AF116</f>
        <v>741.9</v>
      </c>
      <c r="K193" s="441"/>
      <c r="L193" s="114"/>
      <c r="N193" s="114"/>
      <c r="O193" s="114"/>
    </row>
    <row r="194" spans="1:15" s="103" customFormat="1" ht="47.25" x14ac:dyDescent="0.25">
      <c r="A194" s="252" t="s">
        <v>379</v>
      </c>
      <c r="B194" s="132" t="s">
        <v>28</v>
      </c>
      <c r="C194" s="331">
        <v>13</v>
      </c>
      <c r="D194" s="203" t="s">
        <v>380</v>
      </c>
      <c r="E194" s="207"/>
      <c r="F194" s="575">
        <f>F195+F197+F199</f>
        <v>19597.599999999999</v>
      </c>
      <c r="G194" s="441"/>
      <c r="H194" s="460">
        <f>H195+H197+H199</f>
        <v>9307.6</v>
      </c>
      <c r="I194" s="583"/>
      <c r="J194" s="575">
        <f>J195+J197+J199</f>
        <v>9307.6</v>
      </c>
      <c r="K194" s="441"/>
      <c r="L194" s="114"/>
      <c r="N194" s="114"/>
      <c r="O194" s="114"/>
    </row>
    <row r="195" spans="1:15" s="103" customFormat="1" ht="47.25" x14ac:dyDescent="0.25">
      <c r="A195" s="252" t="s">
        <v>40</v>
      </c>
      <c r="B195" s="132" t="s">
        <v>28</v>
      </c>
      <c r="C195" s="331">
        <v>13</v>
      </c>
      <c r="D195" s="203" t="s">
        <v>380</v>
      </c>
      <c r="E195" s="207" t="s">
        <v>125</v>
      </c>
      <c r="F195" s="575">
        <f>F196</f>
        <v>18603.599999999999</v>
      </c>
      <c r="G195" s="441"/>
      <c r="H195" s="460">
        <f>H196</f>
        <v>8603.6</v>
      </c>
      <c r="I195" s="583"/>
      <c r="J195" s="575">
        <f>J196</f>
        <v>8603.6</v>
      </c>
      <c r="K195" s="441"/>
      <c r="L195" s="114"/>
      <c r="N195" s="114"/>
      <c r="O195" s="114"/>
    </row>
    <row r="196" spans="1:15" s="103" customFormat="1" x14ac:dyDescent="0.25">
      <c r="A196" s="252" t="s">
        <v>67</v>
      </c>
      <c r="B196" s="132" t="s">
        <v>28</v>
      </c>
      <c r="C196" s="331">
        <v>13</v>
      </c>
      <c r="D196" s="203" t="s">
        <v>380</v>
      </c>
      <c r="E196" s="207" t="s">
        <v>126</v>
      </c>
      <c r="F196" s="575">
        <f>'ведом. 2025-2027'!AD119</f>
        <v>18603.599999999999</v>
      </c>
      <c r="G196" s="441"/>
      <c r="H196" s="460">
        <f>'ведом. 2025-2027'!AE119</f>
        <v>8603.6</v>
      </c>
      <c r="I196" s="583"/>
      <c r="J196" s="575">
        <f>'ведом. 2025-2027'!AF119</f>
        <v>8603.6</v>
      </c>
      <c r="K196" s="441"/>
      <c r="L196" s="114"/>
      <c r="N196" s="114"/>
      <c r="O196" s="114"/>
    </row>
    <row r="197" spans="1:15" s="103" customFormat="1" x14ac:dyDescent="0.25">
      <c r="A197" s="252" t="s">
        <v>118</v>
      </c>
      <c r="B197" s="132" t="s">
        <v>28</v>
      </c>
      <c r="C197" s="331">
        <v>13</v>
      </c>
      <c r="D197" s="203" t="s">
        <v>380</v>
      </c>
      <c r="E197" s="207" t="s">
        <v>36</v>
      </c>
      <c r="F197" s="575">
        <f>F198</f>
        <v>993.3</v>
      </c>
      <c r="G197" s="441"/>
      <c r="H197" s="460">
        <f>H198</f>
        <v>704</v>
      </c>
      <c r="I197" s="583"/>
      <c r="J197" s="575">
        <f>J198</f>
        <v>704</v>
      </c>
      <c r="K197" s="441"/>
      <c r="L197" s="114"/>
      <c r="N197" s="114"/>
      <c r="O197" s="114"/>
    </row>
    <row r="198" spans="1:15" s="103" customFormat="1" ht="31.5" x14ac:dyDescent="0.25">
      <c r="A198" s="252" t="s">
        <v>51</v>
      </c>
      <c r="B198" s="132" t="s">
        <v>28</v>
      </c>
      <c r="C198" s="331">
        <v>13</v>
      </c>
      <c r="D198" s="203" t="s">
        <v>380</v>
      </c>
      <c r="E198" s="207" t="s">
        <v>64</v>
      </c>
      <c r="F198" s="575">
        <f>'ведом. 2025-2027'!AD121</f>
        <v>993.3</v>
      </c>
      <c r="G198" s="441"/>
      <c r="H198" s="460">
        <f>'ведом. 2025-2027'!AE121</f>
        <v>704</v>
      </c>
      <c r="I198" s="583"/>
      <c r="J198" s="575">
        <f>'ведом. 2025-2027'!AF121</f>
        <v>704</v>
      </c>
      <c r="K198" s="441"/>
      <c r="L198" s="114"/>
      <c r="N198" s="114"/>
      <c r="O198" s="114"/>
    </row>
    <row r="199" spans="1:15" s="103" customFormat="1" x14ac:dyDescent="0.25">
      <c r="A199" s="294" t="s">
        <v>41</v>
      </c>
      <c r="B199" s="509" t="s">
        <v>28</v>
      </c>
      <c r="C199" s="297">
        <v>13</v>
      </c>
      <c r="D199" s="503" t="s">
        <v>380</v>
      </c>
      <c r="E199" s="555" t="s">
        <v>342</v>
      </c>
      <c r="F199" s="575">
        <f>F200</f>
        <v>0.7</v>
      </c>
      <c r="G199" s="441"/>
      <c r="H199" s="460">
        <f>H200</f>
        <v>0</v>
      </c>
      <c r="I199" s="583"/>
      <c r="J199" s="575">
        <f>J200</f>
        <v>0</v>
      </c>
      <c r="K199" s="441"/>
      <c r="L199" s="114"/>
      <c r="N199" s="114"/>
      <c r="O199" s="114"/>
    </row>
    <row r="200" spans="1:15" s="103" customFormat="1" x14ac:dyDescent="0.25">
      <c r="A200" s="294" t="s">
        <v>56</v>
      </c>
      <c r="B200" s="509" t="s">
        <v>28</v>
      </c>
      <c r="C200" s="297">
        <v>13</v>
      </c>
      <c r="D200" s="503" t="s">
        <v>380</v>
      </c>
      <c r="E200" s="555" t="s">
        <v>805</v>
      </c>
      <c r="F200" s="575">
        <f>'ведом. 2025-2027'!AD123</f>
        <v>0.7</v>
      </c>
      <c r="G200" s="441"/>
      <c r="H200" s="460">
        <f>'ведом. 2025-2027'!AE123</f>
        <v>0</v>
      </c>
      <c r="I200" s="583"/>
      <c r="J200" s="575">
        <f>'ведом. 2025-2027'!AF123</f>
        <v>0</v>
      </c>
      <c r="K200" s="441"/>
      <c r="L200" s="114"/>
      <c r="N200" s="114"/>
      <c r="O200" s="114"/>
    </row>
    <row r="201" spans="1:15" s="103" customFormat="1" ht="31.5" x14ac:dyDescent="0.25">
      <c r="A201" s="294" t="s">
        <v>529</v>
      </c>
      <c r="B201" s="509" t="s">
        <v>28</v>
      </c>
      <c r="C201" s="297">
        <v>13</v>
      </c>
      <c r="D201" s="503" t="s">
        <v>530</v>
      </c>
      <c r="E201" s="552"/>
      <c r="F201" s="575">
        <f>F202</f>
        <v>77.400000000000006</v>
      </c>
      <c r="G201" s="441"/>
      <c r="H201" s="460">
        <f t="shared" ref="H201:J203" si="29">H202</f>
        <v>82.9</v>
      </c>
      <c r="I201" s="583"/>
      <c r="J201" s="575">
        <f t="shared" si="29"/>
        <v>84.9</v>
      </c>
      <c r="K201" s="441"/>
      <c r="L201" s="114"/>
      <c r="N201" s="114"/>
      <c r="O201" s="114"/>
    </row>
    <row r="202" spans="1:15" s="103" customFormat="1" ht="78.75" x14ac:dyDescent="0.25">
      <c r="A202" s="294" t="s">
        <v>401</v>
      </c>
      <c r="B202" s="509" t="s">
        <v>28</v>
      </c>
      <c r="C202" s="297">
        <v>13</v>
      </c>
      <c r="D202" s="409" t="s">
        <v>531</v>
      </c>
      <c r="E202" s="552"/>
      <c r="F202" s="575">
        <f>F203</f>
        <v>77.400000000000006</v>
      </c>
      <c r="G202" s="441"/>
      <c r="H202" s="460">
        <f t="shared" si="29"/>
        <v>82.9</v>
      </c>
      <c r="I202" s="583"/>
      <c r="J202" s="575">
        <f t="shared" si="29"/>
        <v>84.9</v>
      </c>
      <c r="K202" s="441"/>
      <c r="L202" s="114"/>
      <c r="N202" s="114"/>
      <c r="O202" s="114"/>
    </row>
    <row r="203" spans="1:15" s="103" customFormat="1" x14ac:dyDescent="0.25">
      <c r="A203" s="294" t="s">
        <v>118</v>
      </c>
      <c r="B203" s="509" t="s">
        <v>28</v>
      </c>
      <c r="C203" s="297">
        <v>13</v>
      </c>
      <c r="D203" s="409" t="s">
        <v>531</v>
      </c>
      <c r="E203" s="552">
        <v>200</v>
      </c>
      <c r="F203" s="575">
        <f>F204</f>
        <v>77.400000000000006</v>
      </c>
      <c r="G203" s="441"/>
      <c r="H203" s="460">
        <f t="shared" si="29"/>
        <v>82.9</v>
      </c>
      <c r="I203" s="583"/>
      <c r="J203" s="575">
        <f t="shared" si="29"/>
        <v>84.9</v>
      </c>
      <c r="K203" s="441"/>
      <c r="L203" s="114"/>
      <c r="N203" s="114"/>
      <c r="O203" s="114"/>
    </row>
    <row r="204" spans="1:15" s="103" customFormat="1" ht="31.5" x14ac:dyDescent="0.25">
      <c r="A204" s="294" t="s">
        <v>51</v>
      </c>
      <c r="B204" s="509" t="s">
        <v>28</v>
      </c>
      <c r="C204" s="297">
        <v>13</v>
      </c>
      <c r="D204" s="409" t="s">
        <v>531</v>
      </c>
      <c r="E204" s="552">
        <v>240</v>
      </c>
      <c r="F204" s="575">
        <f>'ведом. 2025-2027'!AD127</f>
        <v>77.400000000000006</v>
      </c>
      <c r="G204" s="441"/>
      <c r="H204" s="460">
        <f>'ведом. 2025-2027'!AE127</f>
        <v>82.9</v>
      </c>
      <c r="I204" s="583"/>
      <c r="J204" s="575">
        <f>'ведом. 2025-2027'!AF127</f>
        <v>84.9</v>
      </c>
      <c r="K204" s="441"/>
      <c r="L204" s="114"/>
      <c r="N204" s="114"/>
      <c r="O204" s="114"/>
    </row>
    <row r="205" spans="1:15" s="103" customFormat="1" ht="31.5" x14ac:dyDescent="0.25">
      <c r="A205" s="182" t="s">
        <v>296</v>
      </c>
      <c r="B205" s="132" t="s">
        <v>28</v>
      </c>
      <c r="C205" s="331">
        <v>13</v>
      </c>
      <c r="D205" s="116" t="s">
        <v>130</v>
      </c>
      <c r="E205" s="334"/>
      <c r="F205" s="575">
        <f t="shared" ref="F205:K205" si="30">F206</f>
        <v>0.6</v>
      </c>
      <c r="G205" s="441">
        <f t="shared" si="30"/>
        <v>0.6</v>
      </c>
      <c r="H205" s="460">
        <f t="shared" si="30"/>
        <v>922</v>
      </c>
      <c r="I205" s="583">
        <f t="shared" si="30"/>
        <v>922</v>
      </c>
      <c r="J205" s="575">
        <f t="shared" si="30"/>
        <v>20.2</v>
      </c>
      <c r="K205" s="441">
        <f t="shared" si="30"/>
        <v>20.2</v>
      </c>
      <c r="L205" s="114"/>
      <c r="N205" s="114"/>
      <c r="O205" s="114"/>
    </row>
    <row r="206" spans="1:15" s="103" customFormat="1" x14ac:dyDescent="0.25">
      <c r="A206" s="182" t="s">
        <v>47</v>
      </c>
      <c r="B206" s="132" t="s">
        <v>28</v>
      </c>
      <c r="C206" s="331">
        <v>13</v>
      </c>
      <c r="D206" s="116" t="s">
        <v>439</v>
      </c>
      <c r="E206" s="334"/>
      <c r="F206" s="575">
        <f t="shared" ref="F206:K206" si="31">F207</f>
        <v>0.6</v>
      </c>
      <c r="G206" s="441">
        <f t="shared" si="31"/>
        <v>0.6</v>
      </c>
      <c r="H206" s="460">
        <f t="shared" si="31"/>
        <v>922</v>
      </c>
      <c r="I206" s="583">
        <f t="shared" si="31"/>
        <v>922</v>
      </c>
      <c r="J206" s="575">
        <f t="shared" si="31"/>
        <v>20.2</v>
      </c>
      <c r="K206" s="441">
        <f t="shared" si="31"/>
        <v>20.2</v>
      </c>
      <c r="L206" s="114"/>
      <c r="N206" s="114"/>
      <c r="O206" s="114"/>
    </row>
    <row r="207" spans="1:15" s="103" customFormat="1" ht="31.5" x14ac:dyDescent="0.25">
      <c r="A207" s="197" t="s">
        <v>309</v>
      </c>
      <c r="B207" s="132" t="s">
        <v>28</v>
      </c>
      <c r="C207" s="331">
        <v>13</v>
      </c>
      <c r="D207" s="116" t="s">
        <v>448</v>
      </c>
      <c r="E207" s="334"/>
      <c r="F207" s="575">
        <f t="shared" ref="F207:K209" si="32">F208</f>
        <v>0.6</v>
      </c>
      <c r="G207" s="441">
        <f t="shared" si="32"/>
        <v>0.6</v>
      </c>
      <c r="H207" s="460">
        <f t="shared" si="32"/>
        <v>922</v>
      </c>
      <c r="I207" s="583">
        <f t="shared" si="32"/>
        <v>922</v>
      </c>
      <c r="J207" s="575">
        <f>'ведом. 2025-2027'!AF130</f>
        <v>20.2</v>
      </c>
      <c r="K207" s="441">
        <f t="shared" si="32"/>
        <v>20.2</v>
      </c>
      <c r="L207" s="114"/>
      <c r="N207" s="114"/>
      <c r="O207" s="114"/>
    </row>
    <row r="208" spans="1:15" s="103" customFormat="1" ht="31.5" x14ac:dyDescent="0.25">
      <c r="A208" s="196" t="s">
        <v>450</v>
      </c>
      <c r="B208" s="132" t="s">
        <v>28</v>
      </c>
      <c r="C208" s="331">
        <v>13</v>
      </c>
      <c r="D208" s="116" t="s">
        <v>449</v>
      </c>
      <c r="E208" s="334"/>
      <c r="F208" s="575">
        <f t="shared" si="32"/>
        <v>0.6</v>
      </c>
      <c r="G208" s="441">
        <f t="shared" si="32"/>
        <v>0.6</v>
      </c>
      <c r="H208" s="460">
        <f t="shared" si="32"/>
        <v>922</v>
      </c>
      <c r="I208" s="583">
        <f t="shared" si="32"/>
        <v>922</v>
      </c>
      <c r="J208" s="575">
        <f>'ведом. 2025-2027'!AF131</f>
        <v>20.2</v>
      </c>
      <c r="K208" s="441">
        <f t="shared" si="32"/>
        <v>20.2</v>
      </c>
      <c r="L208" s="114"/>
      <c r="N208" s="114"/>
      <c r="O208" s="114"/>
    </row>
    <row r="209" spans="1:15" s="103" customFormat="1" x14ac:dyDescent="0.25">
      <c r="A209" s="252" t="s">
        <v>118</v>
      </c>
      <c r="B209" s="132" t="s">
        <v>28</v>
      </c>
      <c r="C209" s="331">
        <v>13</v>
      </c>
      <c r="D209" s="116" t="s">
        <v>449</v>
      </c>
      <c r="E209" s="334">
        <v>200</v>
      </c>
      <c r="F209" s="575">
        <f t="shared" si="32"/>
        <v>0.6</v>
      </c>
      <c r="G209" s="441">
        <f t="shared" si="32"/>
        <v>0.6</v>
      </c>
      <c r="H209" s="460">
        <f t="shared" si="32"/>
        <v>922</v>
      </c>
      <c r="I209" s="583">
        <f t="shared" si="32"/>
        <v>922</v>
      </c>
      <c r="J209" s="575">
        <f>'ведом. 2025-2027'!AF132</f>
        <v>20.2</v>
      </c>
      <c r="K209" s="441">
        <f t="shared" si="32"/>
        <v>20.2</v>
      </c>
      <c r="L209" s="114"/>
      <c r="N209" s="114"/>
      <c r="O209" s="114"/>
    </row>
    <row r="210" spans="1:15" s="103" customFormat="1" ht="31.5" x14ac:dyDescent="0.25">
      <c r="A210" s="252" t="s">
        <v>51</v>
      </c>
      <c r="B210" s="132" t="s">
        <v>28</v>
      </c>
      <c r="C210" s="331">
        <v>13</v>
      </c>
      <c r="D210" s="116" t="s">
        <v>449</v>
      </c>
      <c r="E210" s="334">
        <v>240</v>
      </c>
      <c r="F210" s="575">
        <f>'ведом. 2025-2027'!AD133</f>
        <v>0.6</v>
      </c>
      <c r="G210" s="441">
        <f>F210</f>
        <v>0.6</v>
      </c>
      <c r="H210" s="460">
        <f>'ведом. 2025-2027'!AE133</f>
        <v>922</v>
      </c>
      <c r="I210" s="583">
        <f>H210</f>
        <v>922</v>
      </c>
      <c r="J210" s="575">
        <f>'ведом. 2025-2027'!AF133</f>
        <v>20.2</v>
      </c>
      <c r="K210" s="441">
        <f>J210</f>
        <v>20.2</v>
      </c>
      <c r="L210" s="114"/>
      <c r="N210" s="114"/>
      <c r="O210" s="114"/>
    </row>
    <row r="211" spans="1:15" s="103" customFormat="1" x14ac:dyDescent="0.25">
      <c r="A211" s="182" t="s">
        <v>231</v>
      </c>
      <c r="B211" s="132" t="s">
        <v>28</v>
      </c>
      <c r="C211" s="331">
        <v>13</v>
      </c>
      <c r="D211" s="116" t="s">
        <v>232</v>
      </c>
      <c r="E211" s="334"/>
      <c r="F211" s="575">
        <f>F212</f>
        <v>57349</v>
      </c>
      <c r="G211" s="441"/>
      <c r="H211" s="460">
        <f>H212</f>
        <v>52633</v>
      </c>
      <c r="I211" s="583"/>
      <c r="J211" s="575">
        <f>J212</f>
        <v>53039</v>
      </c>
      <c r="K211" s="441"/>
      <c r="L211" s="114"/>
      <c r="N211" s="114"/>
      <c r="O211" s="114"/>
    </row>
    <row r="212" spans="1:15" s="103" customFormat="1" x14ac:dyDescent="0.25">
      <c r="A212" s="224" t="s">
        <v>47</v>
      </c>
      <c r="B212" s="132" t="s">
        <v>28</v>
      </c>
      <c r="C212" s="331">
        <v>13</v>
      </c>
      <c r="D212" s="116" t="s">
        <v>532</v>
      </c>
      <c r="E212" s="334"/>
      <c r="F212" s="575">
        <f>F213</f>
        <v>57349</v>
      </c>
      <c r="G212" s="441"/>
      <c r="H212" s="460">
        <f>H213</f>
        <v>52633</v>
      </c>
      <c r="I212" s="583"/>
      <c r="J212" s="575">
        <f>J213</f>
        <v>53039</v>
      </c>
      <c r="K212" s="441"/>
      <c r="L212" s="114"/>
      <c r="N212" s="114"/>
      <c r="O212" s="114"/>
    </row>
    <row r="213" spans="1:15" s="103" customFormat="1" ht="31.5" x14ac:dyDescent="0.25">
      <c r="A213" s="224" t="s">
        <v>323</v>
      </c>
      <c r="B213" s="132" t="s">
        <v>28</v>
      </c>
      <c r="C213" s="331">
        <v>13</v>
      </c>
      <c r="D213" s="116" t="s">
        <v>533</v>
      </c>
      <c r="E213" s="334"/>
      <c r="F213" s="575">
        <f>F214</f>
        <v>57349</v>
      </c>
      <c r="G213" s="441"/>
      <c r="H213" s="460">
        <f>H214</f>
        <v>52633</v>
      </c>
      <c r="I213" s="583"/>
      <c r="J213" s="575">
        <f>J214</f>
        <v>53039</v>
      </c>
      <c r="K213" s="441"/>
      <c r="L213" s="114"/>
      <c r="N213" s="114"/>
      <c r="O213" s="114"/>
    </row>
    <row r="214" spans="1:15" s="103" customFormat="1" ht="31.5" x14ac:dyDescent="0.25">
      <c r="A214" s="224" t="s">
        <v>233</v>
      </c>
      <c r="B214" s="132" t="s">
        <v>28</v>
      </c>
      <c r="C214" s="331">
        <v>13</v>
      </c>
      <c r="D214" s="116" t="s">
        <v>534</v>
      </c>
      <c r="E214" s="334"/>
      <c r="F214" s="575">
        <f>F215</f>
        <v>57349</v>
      </c>
      <c r="G214" s="441"/>
      <c r="H214" s="460">
        <f>H215</f>
        <v>52633</v>
      </c>
      <c r="I214" s="583"/>
      <c r="J214" s="575">
        <f>J215</f>
        <v>53039</v>
      </c>
      <c r="K214" s="441"/>
      <c r="L214" s="114"/>
      <c r="N214" s="114"/>
      <c r="O214" s="114"/>
    </row>
    <row r="215" spans="1:15" s="103" customFormat="1" ht="31.5" x14ac:dyDescent="0.25">
      <c r="A215" s="255" t="s">
        <v>59</v>
      </c>
      <c r="B215" s="132" t="s">
        <v>28</v>
      </c>
      <c r="C215" s="331">
        <v>13</v>
      </c>
      <c r="D215" s="116" t="s">
        <v>534</v>
      </c>
      <c r="E215" s="334">
        <v>600</v>
      </c>
      <c r="F215" s="575">
        <f>F216</f>
        <v>57349</v>
      </c>
      <c r="G215" s="441"/>
      <c r="H215" s="460">
        <f>H216</f>
        <v>52633</v>
      </c>
      <c r="I215" s="583"/>
      <c r="J215" s="575">
        <f>J216</f>
        <v>53039</v>
      </c>
      <c r="K215" s="441"/>
      <c r="L215" s="114"/>
      <c r="N215" s="114"/>
      <c r="O215" s="114"/>
    </row>
    <row r="216" spans="1:15" s="103" customFormat="1" x14ac:dyDescent="0.25">
      <c r="A216" s="255" t="s">
        <v>60</v>
      </c>
      <c r="B216" s="132" t="s">
        <v>28</v>
      </c>
      <c r="C216" s="331">
        <v>13</v>
      </c>
      <c r="D216" s="116" t="s">
        <v>534</v>
      </c>
      <c r="E216" s="334">
        <v>610</v>
      </c>
      <c r="F216" s="575">
        <f>'ведом. 2025-2027'!AD139</f>
        <v>57349</v>
      </c>
      <c r="G216" s="441"/>
      <c r="H216" s="460">
        <f>'ведом. 2025-2027'!AE139</f>
        <v>52633</v>
      </c>
      <c r="I216" s="583"/>
      <c r="J216" s="575">
        <f>'ведом. 2025-2027'!AF139</f>
        <v>53039</v>
      </c>
      <c r="K216" s="441"/>
      <c r="L216" s="114"/>
      <c r="N216" s="114"/>
      <c r="O216" s="114"/>
    </row>
    <row r="217" spans="1:15" s="103" customFormat="1" x14ac:dyDescent="0.25">
      <c r="A217" s="182" t="s">
        <v>223</v>
      </c>
      <c r="B217" s="132" t="s">
        <v>28</v>
      </c>
      <c r="C217" s="331">
        <v>13</v>
      </c>
      <c r="D217" s="116" t="s">
        <v>135</v>
      </c>
      <c r="E217" s="207"/>
      <c r="F217" s="575">
        <f>F221+F218</f>
        <v>14471.000000000002</v>
      </c>
      <c r="G217" s="441"/>
      <c r="H217" s="460">
        <f>H221+H218</f>
        <v>1505.8999999999996</v>
      </c>
      <c r="I217" s="583"/>
      <c r="J217" s="575">
        <f>J221+J218</f>
        <v>2562.7000000000003</v>
      </c>
      <c r="K217" s="441"/>
      <c r="L217" s="114"/>
      <c r="N217" s="114"/>
      <c r="O217" s="114"/>
    </row>
    <row r="218" spans="1:15" s="103" customFormat="1" x14ac:dyDescent="0.25">
      <c r="A218" s="294" t="s">
        <v>778</v>
      </c>
      <c r="B218" s="509" t="s">
        <v>28</v>
      </c>
      <c r="C218" s="297">
        <v>13</v>
      </c>
      <c r="D218" s="409" t="s">
        <v>779</v>
      </c>
      <c r="E218" s="552"/>
      <c r="F218" s="575">
        <f>F219</f>
        <v>447.6</v>
      </c>
      <c r="G218" s="441"/>
      <c r="H218" s="460">
        <f>H219</f>
        <v>0</v>
      </c>
      <c r="I218" s="583"/>
      <c r="J218" s="575">
        <f>J219</f>
        <v>0</v>
      </c>
      <c r="K218" s="441"/>
      <c r="L218" s="114"/>
      <c r="N218" s="114"/>
      <c r="O218" s="114"/>
    </row>
    <row r="219" spans="1:15" s="103" customFormat="1" x14ac:dyDescent="0.25">
      <c r="A219" s="294" t="s">
        <v>41</v>
      </c>
      <c r="B219" s="509" t="s">
        <v>28</v>
      </c>
      <c r="C219" s="297">
        <v>13</v>
      </c>
      <c r="D219" s="409" t="s">
        <v>779</v>
      </c>
      <c r="E219" s="552">
        <v>800</v>
      </c>
      <c r="F219" s="575">
        <f>F220</f>
        <v>447.6</v>
      </c>
      <c r="G219" s="441"/>
      <c r="H219" s="460">
        <f>H220</f>
        <v>0</v>
      </c>
      <c r="I219" s="583"/>
      <c r="J219" s="575">
        <f>J220</f>
        <v>0</v>
      </c>
      <c r="K219" s="441"/>
      <c r="L219" s="114"/>
      <c r="N219" s="114"/>
      <c r="O219" s="114"/>
    </row>
    <row r="220" spans="1:15" s="103" customFormat="1" x14ac:dyDescent="0.25">
      <c r="A220" s="294" t="s">
        <v>780</v>
      </c>
      <c r="B220" s="509" t="s">
        <v>28</v>
      </c>
      <c r="C220" s="297">
        <v>13</v>
      </c>
      <c r="D220" s="409" t="s">
        <v>779</v>
      </c>
      <c r="E220" s="552">
        <v>830</v>
      </c>
      <c r="F220" s="575">
        <f>'ведом. 2025-2027'!AD667+'ведом. 2025-2027'!AD143</f>
        <v>447.6</v>
      </c>
      <c r="G220" s="441"/>
      <c r="H220" s="460">
        <f>'ведом. 2025-2027'!AE667+'ведом. 2025-2027'!AE143</f>
        <v>0</v>
      </c>
      <c r="I220" s="583"/>
      <c r="J220" s="575">
        <f>'ведом. 2025-2027'!AF667+'ведом. 2025-2027'!AF143</f>
        <v>0</v>
      </c>
      <c r="K220" s="441"/>
      <c r="L220" s="114"/>
      <c r="N220" s="114"/>
      <c r="O220" s="114"/>
    </row>
    <row r="221" spans="1:15" s="103" customFormat="1" x14ac:dyDescent="0.25">
      <c r="A221" s="256" t="s">
        <v>422</v>
      </c>
      <c r="B221" s="133" t="s">
        <v>28</v>
      </c>
      <c r="C221" s="128">
        <v>13</v>
      </c>
      <c r="D221" s="188" t="s">
        <v>423</v>
      </c>
      <c r="E221" s="553"/>
      <c r="F221" s="575">
        <f>F225+F222</f>
        <v>14023.400000000001</v>
      </c>
      <c r="G221" s="441"/>
      <c r="H221" s="460">
        <f>H225+H222</f>
        <v>1505.8999999999996</v>
      </c>
      <c r="I221" s="583"/>
      <c r="J221" s="575">
        <f>J225+J222</f>
        <v>2562.7000000000003</v>
      </c>
      <c r="K221" s="441"/>
      <c r="L221" s="114"/>
      <c r="N221" s="114"/>
      <c r="O221" s="114"/>
    </row>
    <row r="222" spans="1:15" s="103" customFormat="1" x14ac:dyDescent="0.25">
      <c r="A222" s="294" t="s">
        <v>781</v>
      </c>
      <c r="B222" s="535" t="s">
        <v>28</v>
      </c>
      <c r="C222" s="311">
        <v>13</v>
      </c>
      <c r="D222" s="541" t="s">
        <v>782</v>
      </c>
      <c r="E222" s="554"/>
      <c r="F222" s="575">
        <f>F223</f>
        <v>150</v>
      </c>
      <c r="G222" s="441"/>
      <c r="H222" s="460">
        <f t="shared" ref="H222:J223" si="33">H223</f>
        <v>0</v>
      </c>
      <c r="I222" s="583"/>
      <c r="J222" s="575">
        <f t="shared" si="33"/>
        <v>0</v>
      </c>
      <c r="K222" s="441"/>
      <c r="L222" s="114"/>
      <c r="N222" s="114"/>
      <c r="O222" s="114"/>
    </row>
    <row r="223" spans="1:15" s="103" customFormat="1" x14ac:dyDescent="0.25">
      <c r="A223" s="294" t="s">
        <v>41</v>
      </c>
      <c r="B223" s="535" t="s">
        <v>28</v>
      </c>
      <c r="C223" s="311">
        <v>13</v>
      </c>
      <c r="D223" s="541" t="s">
        <v>782</v>
      </c>
      <c r="E223" s="554">
        <v>800</v>
      </c>
      <c r="F223" s="575">
        <f>F224</f>
        <v>150</v>
      </c>
      <c r="G223" s="441"/>
      <c r="H223" s="460">
        <f t="shared" si="33"/>
        <v>0</v>
      </c>
      <c r="I223" s="583"/>
      <c r="J223" s="575">
        <f t="shared" si="33"/>
        <v>0</v>
      </c>
      <c r="K223" s="441"/>
      <c r="L223" s="114"/>
      <c r="N223" s="114"/>
      <c r="O223" s="114"/>
    </row>
    <row r="224" spans="1:15" s="103" customFormat="1" x14ac:dyDescent="0.25">
      <c r="A224" s="294" t="s">
        <v>56</v>
      </c>
      <c r="B224" s="535" t="s">
        <v>28</v>
      </c>
      <c r="C224" s="311">
        <v>13</v>
      </c>
      <c r="D224" s="541" t="s">
        <v>782</v>
      </c>
      <c r="E224" s="554">
        <v>850</v>
      </c>
      <c r="F224" s="575">
        <f>'ведом. 2025-2027'!AD147</f>
        <v>150</v>
      </c>
      <c r="G224" s="441"/>
      <c r="H224" s="460">
        <f>'ведом. 2025-2027'!AE147</f>
        <v>0</v>
      </c>
      <c r="I224" s="583"/>
      <c r="J224" s="575">
        <f>'ведом. 2025-2027'!AF147</f>
        <v>0</v>
      </c>
      <c r="K224" s="441"/>
      <c r="L224" s="114"/>
      <c r="N224" s="114"/>
      <c r="O224" s="114"/>
    </row>
    <row r="225" spans="1:15" s="138" customFormat="1" ht="31.5" x14ac:dyDescent="0.25">
      <c r="A225" s="255" t="s">
        <v>425</v>
      </c>
      <c r="B225" s="133" t="s">
        <v>28</v>
      </c>
      <c r="C225" s="128">
        <v>13</v>
      </c>
      <c r="D225" s="204" t="s">
        <v>426</v>
      </c>
      <c r="E225" s="553"/>
      <c r="F225" s="575">
        <f>F226</f>
        <v>13873.400000000001</v>
      </c>
      <c r="G225" s="441"/>
      <c r="H225" s="460">
        <f>H226</f>
        <v>1505.8999999999996</v>
      </c>
      <c r="I225" s="583"/>
      <c r="J225" s="575">
        <f>J226</f>
        <v>2562.7000000000003</v>
      </c>
      <c r="K225" s="441"/>
      <c r="L225" s="137"/>
      <c r="N225" s="137"/>
      <c r="O225" s="137"/>
    </row>
    <row r="226" spans="1:15" s="138" customFormat="1" x14ac:dyDescent="0.25">
      <c r="A226" s="255" t="s">
        <v>41</v>
      </c>
      <c r="B226" s="133" t="s">
        <v>28</v>
      </c>
      <c r="C226" s="128">
        <v>13</v>
      </c>
      <c r="D226" s="204" t="s">
        <v>426</v>
      </c>
      <c r="E226" s="553">
        <v>800</v>
      </c>
      <c r="F226" s="575">
        <f>F227</f>
        <v>13873.400000000001</v>
      </c>
      <c r="G226" s="441"/>
      <c r="H226" s="460">
        <f>H227</f>
        <v>1505.8999999999996</v>
      </c>
      <c r="I226" s="583"/>
      <c r="J226" s="575">
        <f>J227</f>
        <v>2562.7000000000003</v>
      </c>
      <c r="K226" s="441"/>
      <c r="L226" s="137"/>
      <c r="N226" s="137"/>
      <c r="O226" s="137"/>
    </row>
    <row r="227" spans="1:15" s="138" customFormat="1" ht="17.25" thickBot="1" x14ac:dyDescent="0.3">
      <c r="A227" s="607" t="s">
        <v>134</v>
      </c>
      <c r="B227" s="608" t="s">
        <v>28</v>
      </c>
      <c r="C227" s="609">
        <v>13</v>
      </c>
      <c r="D227" s="610" t="s">
        <v>426</v>
      </c>
      <c r="E227" s="611">
        <v>870</v>
      </c>
      <c r="F227" s="612">
        <f>'ведом. 2025-2027'!AD619</f>
        <v>13873.400000000001</v>
      </c>
      <c r="G227" s="613"/>
      <c r="H227" s="614">
        <f>'ведом. 2025-2027'!AE619</f>
        <v>1505.8999999999996</v>
      </c>
      <c r="I227" s="615"/>
      <c r="J227" s="612">
        <f>'ведом. 2025-2027'!AF619</f>
        <v>2562.7000000000003</v>
      </c>
      <c r="K227" s="613"/>
      <c r="L227" s="137"/>
      <c r="N227" s="137"/>
      <c r="O227" s="137"/>
    </row>
    <row r="228" spans="1:15" s="103" customFormat="1" ht="17.25" thickBot="1" x14ac:dyDescent="0.3">
      <c r="A228" s="258" t="s">
        <v>10</v>
      </c>
      <c r="B228" s="616" t="s">
        <v>29</v>
      </c>
      <c r="C228" s="600"/>
      <c r="D228" s="601"/>
      <c r="E228" s="602"/>
      <c r="F228" s="603">
        <f t="shared" ref="F228:K228" si="34">F229+F236</f>
        <v>5234.8999999999996</v>
      </c>
      <c r="G228" s="604">
        <f t="shared" si="34"/>
        <v>4656.3999999999996</v>
      </c>
      <c r="H228" s="605">
        <f t="shared" si="34"/>
        <v>5095.3</v>
      </c>
      <c r="I228" s="606">
        <f t="shared" si="34"/>
        <v>5021.3</v>
      </c>
      <c r="J228" s="603">
        <f t="shared" si="34"/>
        <v>5267.1</v>
      </c>
      <c r="K228" s="604">
        <f t="shared" si="34"/>
        <v>5193.1000000000004</v>
      </c>
      <c r="L228" s="114"/>
      <c r="N228" s="114"/>
      <c r="O228" s="114"/>
    </row>
    <row r="229" spans="1:15" s="103" customFormat="1" x14ac:dyDescent="0.25">
      <c r="A229" s="592" t="s">
        <v>11</v>
      </c>
      <c r="B229" s="507" t="s">
        <v>29</v>
      </c>
      <c r="C229" s="508" t="s">
        <v>6</v>
      </c>
      <c r="D229" s="593"/>
      <c r="E229" s="594"/>
      <c r="F229" s="595">
        <f t="shared" ref="F229:K234" si="35">F230</f>
        <v>4656.3999999999996</v>
      </c>
      <c r="G229" s="596">
        <f t="shared" si="35"/>
        <v>4656.3999999999996</v>
      </c>
      <c r="H229" s="597">
        <f t="shared" si="35"/>
        <v>5021.3</v>
      </c>
      <c r="I229" s="598">
        <f t="shared" si="35"/>
        <v>5021.3</v>
      </c>
      <c r="J229" s="595">
        <f t="shared" si="35"/>
        <v>5193.1000000000004</v>
      </c>
      <c r="K229" s="596">
        <f t="shared" si="35"/>
        <v>5193.1000000000004</v>
      </c>
      <c r="L229" s="114"/>
      <c r="N229" s="114"/>
      <c r="O229" s="114"/>
    </row>
    <row r="230" spans="1:15" s="103" customFormat="1" ht="31.5" x14ac:dyDescent="0.25">
      <c r="A230" s="182" t="s">
        <v>296</v>
      </c>
      <c r="B230" s="132" t="s">
        <v>29</v>
      </c>
      <c r="C230" s="331" t="s">
        <v>6</v>
      </c>
      <c r="D230" s="116" t="s">
        <v>130</v>
      </c>
      <c r="E230" s="205"/>
      <c r="F230" s="575">
        <f t="shared" si="35"/>
        <v>4656.3999999999996</v>
      </c>
      <c r="G230" s="441">
        <f t="shared" si="35"/>
        <v>4656.3999999999996</v>
      </c>
      <c r="H230" s="460">
        <f t="shared" si="35"/>
        <v>5021.3</v>
      </c>
      <c r="I230" s="583">
        <f t="shared" si="35"/>
        <v>5021.3</v>
      </c>
      <c r="J230" s="575">
        <f t="shared" si="35"/>
        <v>5193.1000000000004</v>
      </c>
      <c r="K230" s="441">
        <f t="shared" si="35"/>
        <v>5193.1000000000004</v>
      </c>
      <c r="L230" s="114"/>
      <c r="N230" s="114"/>
      <c r="O230" s="114"/>
    </row>
    <row r="231" spans="1:15" s="103" customFormat="1" x14ac:dyDescent="0.25">
      <c r="A231" s="182" t="s">
        <v>47</v>
      </c>
      <c r="B231" s="132" t="s">
        <v>29</v>
      </c>
      <c r="C231" s="331" t="s">
        <v>6</v>
      </c>
      <c r="D231" s="116" t="s">
        <v>439</v>
      </c>
      <c r="E231" s="205"/>
      <c r="F231" s="575">
        <f t="shared" ref="F231:K233" si="36">F232</f>
        <v>4656.3999999999996</v>
      </c>
      <c r="G231" s="441">
        <f t="shared" si="36"/>
        <v>4656.3999999999996</v>
      </c>
      <c r="H231" s="460">
        <f t="shared" si="36"/>
        <v>5021.3</v>
      </c>
      <c r="I231" s="583">
        <f t="shared" si="36"/>
        <v>5021.3</v>
      </c>
      <c r="J231" s="575">
        <f t="shared" si="36"/>
        <v>5193.1000000000004</v>
      </c>
      <c r="K231" s="441">
        <f t="shared" si="36"/>
        <v>5193.1000000000004</v>
      </c>
      <c r="L231" s="114"/>
      <c r="N231" s="114"/>
      <c r="O231" s="114"/>
    </row>
    <row r="232" spans="1:15" s="103" customFormat="1" x14ac:dyDescent="0.25">
      <c r="A232" s="183" t="s">
        <v>452</v>
      </c>
      <c r="B232" s="132" t="s">
        <v>29</v>
      </c>
      <c r="C232" s="331" t="s">
        <v>6</v>
      </c>
      <c r="D232" s="116" t="s">
        <v>440</v>
      </c>
      <c r="E232" s="205"/>
      <c r="F232" s="575">
        <f t="shared" si="36"/>
        <v>4656.3999999999996</v>
      </c>
      <c r="G232" s="441">
        <f t="shared" si="36"/>
        <v>4656.3999999999996</v>
      </c>
      <c r="H232" s="460">
        <f t="shared" si="36"/>
        <v>5021.3</v>
      </c>
      <c r="I232" s="583">
        <f t="shared" si="36"/>
        <v>5021.3</v>
      </c>
      <c r="J232" s="575">
        <f t="shared" si="36"/>
        <v>5193.1000000000004</v>
      </c>
      <c r="K232" s="441">
        <f t="shared" si="36"/>
        <v>5193.1000000000004</v>
      </c>
      <c r="L232" s="114"/>
      <c r="N232" s="114"/>
      <c r="O232" s="114"/>
    </row>
    <row r="233" spans="1:15" s="103" customFormat="1" ht="31.5" x14ac:dyDescent="0.25">
      <c r="A233" s="182" t="s">
        <v>451</v>
      </c>
      <c r="B233" s="132" t="s">
        <v>29</v>
      </c>
      <c r="C233" s="331" t="s">
        <v>6</v>
      </c>
      <c r="D233" s="116" t="s">
        <v>447</v>
      </c>
      <c r="E233" s="558"/>
      <c r="F233" s="575">
        <f>F234</f>
        <v>4656.3999999999996</v>
      </c>
      <c r="G233" s="441">
        <f t="shared" si="36"/>
        <v>4656.3999999999996</v>
      </c>
      <c r="H233" s="460">
        <f t="shared" si="36"/>
        <v>5021.3</v>
      </c>
      <c r="I233" s="583">
        <f t="shared" si="36"/>
        <v>5021.3</v>
      </c>
      <c r="J233" s="575">
        <f t="shared" si="36"/>
        <v>5193.1000000000004</v>
      </c>
      <c r="K233" s="441">
        <f t="shared" si="36"/>
        <v>5193.1000000000004</v>
      </c>
      <c r="L233" s="114"/>
      <c r="N233" s="114"/>
      <c r="O233" s="114"/>
    </row>
    <row r="234" spans="1:15" s="103" customFormat="1" ht="47.25" x14ac:dyDescent="0.25">
      <c r="A234" s="252" t="s">
        <v>40</v>
      </c>
      <c r="B234" s="132" t="s">
        <v>29</v>
      </c>
      <c r="C234" s="331" t="s">
        <v>6</v>
      </c>
      <c r="D234" s="116" t="s">
        <v>447</v>
      </c>
      <c r="E234" s="334">
        <v>100</v>
      </c>
      <c r="F234" s="575">
        <f t="shared" si="35"/>
        <v>4656.3999999999996</v>
      </c>
      <c r="G234" s="441">
        <f t="shared" si="35"/>
        <v>4656.3999999999996</v>
      </c>
      <c r="H234" s="460">
        <f t="shared" si="35"/>
        <v>5021.3</v>
      </c>
      <c r="I234" s="583">
        <f t="shared" si="35"/>
        <v>5021.3</v>
      </c>
      <c r="J234" s="575">
        <f t="shared" si="35"/>
        <v>5193.1000000000004</v>
      </c>
      <c r="K234" s="441">
        <f t="shared" si="35"/>
        <v>5193.1000000000004</v>
      </c>
      <c r="L234" s="114"/>
      <c r="N234" s="114"/>
      <c r="O234" s="114"/>
    </row>
    <row r="235" spans="1:15" s="103" customFormat="1" x14ac:dyDescent="0.25">
      <c r="A235" s="252" t="s">
        <v>94</v>
      </c>
      <c r="B235" s="132" t="s">
        <v>29</v>
      </c>
      <c r="C235" s="331" t="s">
        <v>6</v>
      </c>
      <c r="D235" s="116" t="s">
        <v>447</v>
      </c>
      <c r="E235" s="334">
        <v>120</v>
      </c>
      <c r="F235" s="575">
        <f>'ведом. 2025-2027'!AD155</f>
        <v>4656.3999999999996</v>
      </c>
      <c r="G235" s="441">
        <f>F235</f>
        <v>4656.3999999999996</v>
      </c>
      <c r="H235" s="460">
        <f>'ведом. 2025-2027'!AE155</f>
        <v>5021.3</v>
      </c>
      <c r="I235" s="583">
        <f>H235</f>
        <v>5021.3</v>
      </c>
      <c r="J235" s="575">
        <f>'ведом. 2025-2027'!AF155</f>
        <v>5193.1000000000004</v>
      </c>
      <c r="K235" s="441">
        <f>J235</f>
        <v>5193.1000000000004</v>
      </c>
      <c r="L235" s="114"/>
      <c r="N235" s="114"/>
      <c r="O235" s="114"/>
    </row>
    <row r="236" spans="1:15" s="103" customFormat="1" x14ac:dyDescent="0.25">
      <c r="A236" s="252" t="s">
        <v>46</v>
      </c>
      <c r="B236" s="132" t="s">
        <v>29</v>
      </c>
      <c r="C236" s="331" t="s">
        <v>48</v>
      </c>
      <c r="D236" s="21"/>
      <c r="E236" s="334"/>
      <c r="F236" s="575">
        <f t="shared" ref="F236:J241" si="37">F237</f>
        <v>578.5</v>
      </c>
      <c r="G236" s="441"/>
      <c r="H236" s="460">
        <f t="shared" si="37"/>
        <v>74</v>
      </c>
      <c r="I236" s="583"/>
      <c r="J236" s="575">
        <f t="shared" si="37"/>
        <v>74</v>
      </c>
      <c r="K236" s="441"/>
      <c r="L236" s="114"/>
      <c r="N236" s="114"/>
      <c r="O236" s="114"/>
    </row>
    <row r="237" spans="1:15" s="103" customFormat="1" x14ac:dyDescent="0.25">
      <c r="A237" s="182" t="s">
        <v>184</v>
      </c>
      <c r="B237" s="132" t="s">
        <v>29</v>
      </c>
      <c r="C237" s="331" t="s">
        <v>48</v>
      </c>
      <c r="D237" s="116" t="s">
        <v>110</v>
      </c>
      <c r="E237" s="334"/>
      <c r="F237" s="575">
        <f t="shared" si="37"/>
        <v>578.5</v>
      </c>
      <c r="G237" s="441"/>
      <c r="H237" s="460">
        <f t="shared" si="37"/>
        <v>74</v>
      </c>
      <c r="I237" s="583"/>
      <c r="J237" s="575">
        <f t="shared" si="37"/>
        <v>74</v>
      </c>
      <c r="K237" s="441"/>
      <c r="L237" s="114"/>
      <c r="N237" s="114"/>
      <c r="O237" s="114"/>
    </row>
    <row r="238" spans="1:15" s="103" customFormat="1" x14ac:dyDescent="0.25">
      <c r="A238" s="182" t="s">
        <v>187</v>
      </c>
      <c r="B238" s="132" t="s">
        <v>29</v>
      </c>
      <c r="C238" s="331" t="s">
        <v>48</v>
      </c>
      <c r="D238" s="116" t="s">
        <v>188</v>
      </c>
      <c r="E238" s="334"/>
      <c r="F238" s="575">
        <f t="shared" si="37"/>
        <v>578.5</v>
      </c>
      <c r="G238" s="441"/>
      <c r="H238" s="460">
        <f t="shared" si="37"/>
        <v>74</v>
      </c>
      <c r="I238" s="583"/>
      <c r="J238" s="575">
        <f t="shared" si="37"/>
        <v>74</v>
      </c>
      <c r="K238" s="441"/>
      <c r="L238" s="114"/>
      <c r="N238" s="114"/>
      <c r="O238" s="114"/>
    </row>
    <row r="239" spans="1:15" s="103" customFormat="1" ht="31.5" x14ac:dyDescent="0.25">
      <c r="A239" s="182" t="s">
        <v>189</v>
      </c>
      <c r="B239" s="132" t="s">
        <v>29</v>
      </c>
      <c r="C239" s="331" t="s">
        <v>48</v>
      </c>
      <c r="D239" s="116" t="s">
        <v>190</v>
      </c>
      <c r="E239" s="334"/>
      <c r="F239" s="575">
        <f t="shared" si="37"/>
        <v>578.5</v>
      </c>
      <c r="G239" s="441"/>
      <c r="H239" s="460">
        <f t="shared" si="37"/>
        <v>74</v>
      </c>
      <c r="I239" s="583"/>
      <c r="J239" s="575">
        <f t="shared" si="37"/>
        <v>74</v>
      </c>
      <c r="K239" s="441"/>
      <c r="L239" s="114"/>
      <c r="N239" s="114"/>
      <c r="O239" s="114"/>
    </row>
    <row r="240" spans="1:15" s="103" customFormat="1" x14ac:dyDescent="0.25">
      <c r="A240" s="183" t="s">
        <v>219</v>
      </c>
      <c r="B240" s="132" t="s">
        <v>29</v>
      </c>
      <c r="C240" s="331" t="s">
        <v>48</v>
      </c>
      <c r="D240" s="203" t="s">
        <v>220</v>
      </c>
      <c r="E240" s="557"/>
      <c r="F240" s="575">
        <f t="shared" si="37"/>
        <v>578.5</v>
      </c>
      <c r="G240" s="441"/>
      <c r="H240" s="460">
        <f t="shared" si="37"/>
        <v>74</v>
      </c>
      <c r="I240" s="583"/>
      <c r="J240" s="575">
        <f t="shared" si="37"/>
        <v>74</v>
      </c>
      <c r="K240" s="441"/>
      <c r="L240" s="114"/>
      <c r="N240" s="114"/>
      <c r="O240" s="114"/>
    </row>
    <row r="241" spans="1:15" s="103" customFormat="1" x14ac:dyDescent="0.25">
      <c r="A241" s="252" t="s">
        <v>118</v>
      </c>
      <c r="B241" s="132" t="s">
        <v>29</v>
      </c>
      <c r="C241" s="331" t="s">
        <v>48</v>
      </c>
      <c r="D241" s="203" t="s">
        <v>220</v>
      </c>
      <c r="E241" s="206">
        <v>200</v>
      </c>
      <c r="F241" s="575">
        <f t="shared" si="37"/>
        <v>578.5</v>
      </c>
      <c r="G241" s="441"/>
      <c r="H241" s="460">
        <f t="shared" si="37"/>
        <v>74</v>
      </c>
      <c r="I241" s="583"/>
      <c r="J241" s="575">
        <f t="shared" si="37"/>
        <v>74</v>
      </c>
      <c r="K241" s="441"/>
      <c r="L241" s="114"/>
      <c r="N241" s="114"/>
      <c r="O241" s="114"/>
    </row>
    <row r="242" spans="1:15" s="103" customFormat="1" ht="32.25" thickBot="1" x14ac:dyDescent="0.3">
      <c r="A242" s="617" t="s">
        <v>51</v>
      </c>
      <c r="B242" s="505" t="s">
        <v>29</v>
      </c>
      <c r="C242" s="506" t="s">
        <v>48</v>
      </c>
      <c r="D242" s="502" t="s">
        <v>220</v>
      </c>
      <c r="E242" s="618">
        <v>240</v>
      </c>
      <c r="F242" s="612">
        <f>'ведом. 2025-2027'!AD162</f>
        <v>578.5</v>
      </c>
      <c r="G242" s="613"/>
      <c r="H242" s="614">
        <f>'ведом. 2025-2027'!AE162</f>
        <v>74</v>
      </c>
      <c r="I242" s="615"/>
      <c r="J242" s="612">
        <f>'ведом. 2025-2027'!AF162</f>
        <v>74</v>
      </c>
      <c r="K242" s="613"/>
      <c r="L242" s="114"/>
      <c r="N242" s="114"/>
      <c r="O242" s="114"/>
    </row>
    <row r="243" spans="1:15" s="103" customFormat="1" ht="17.25" thickBot="1" x14ac:dyDescent="0.3">
      <c r="A243" s="258" t="s">
        <v>45</v>
      </c>
      <c r="B243" s="616" t="s">
        <v>6</v>
      </c>
      <c r="C243" s="600"/>
      <c r="D243" s="601"/>
      <c r="E243" s="602"/>
      <c r="F243" s="603">
        <f>F244+F259+F293</f>
        <v>50661.4</v>
      </c>
      <c r="G243" s="604"/>
      <c r="H243" s="605">
        <f>H244+H259+H293</f>
        <v>24976.799999999999</v>
      </c>
      <c r="I243" s="606"/>
      <c r="J243" s="603">
        <f>J244+J259+J293</f>
        <v>22943.199999999997</v>
      </c>
      <c r="K243" s="604"/>
      <c r="L243" s="114"/>
      <c r="N243" s="114"/>
      <c r="O243" s="114"/>
    </row>
    <row r="244" spans="1:15" s="103" customFormat="1" x14ac:dyDescent="0.25">
      <c r="A244" s="254" t="s">
        <v>360</v>
      </c>
      <c r="B244" s="507" t="s">
        <v>6</v>
      </c>
      <c r="C244" s="508" t="s">
        <v>21</v>
      </c>
      <c r="D244" s="593"/>
      <c r="E244" s="594"/>
      <c r="F244" s="595">
        <f>F245</f>
        <v>1278.4000000000001</v>
      </c>
      <c r="G244" s="596"/>
      <c r="H244" s="597">
        <f>H245</f>
        <v>1177</v>
      </c>
      <c r="I244" s="598"/>
      <c r="J244" s="595">
        <f>J245</f>
        <v>1177</v>
      </c>
      <c r="K244" s="596"/>
      <c r="L244" s="114"/>
      <c r="N244" s="114"/>
      <c r="O244" s="114"/>
    </row>
    <row r="245" spans="1:15" s="103" customFormat="1" ht="31.5" x14ac:dyDescent="0.25">
      <c r="A245" s="185" t="s">
        <v>159</v>
      </c>
      <c r="B245" s="132" t="s">
        <v>6</v>
      </c>
      <c r="C245" s="331" t="s">
        <v>21</v>
      </c>
      <c r="D245" s="21" t="s">
        <v>100</v>
      </c>
      <c r="E245" s="205"/>
      <c r="F245" s="575">
        <f>F246</f>
        <v>1278.4000000000001</v>
      </c>
      <c r="G245" s="441"/>
      <c r="H245" s="460">
        <f>H246</f>
        <v>1177</v>
      </c>
      <c r="I245" s="583"/>
      <c r="J245" s="575">
        <f>J246</f>
        <v>1177</v>
      </c>
      <c r="K245" s="441"/>
      <c r="L245" s="114"/>
      <c r="N245" s="114"/>
      <c r="O245" s="114"/>
    </row>
    <row r="246" spans="1:15" s="103" customFormat="1" ht="31.5" x14ac:dyDescent="0.25">
      <c r="A246" s="185" t="s">
        <v>572</v>
      </c>
      <c r="B246" s="132" t="s">
        <v>6</v>
      </c>
      <c r="C246" s="331" t="s">
        <v>21</v>
      </c>
      <c r="D246" s="116" t="s">
        <v>101</v>
      </c>
      <c r="E246" s="205"/>
      <c r="F246" s="575">
        <f>F247+F255+F251</f>
        <v>1278.4000000000001</v>
      </c>
      <c r="G246" s="441"/>
      <c r="H246" s="460">
        <f>H247+H255+H251</f>
        <v>1177</v>
      </c>
      <c r="I246" s="583"/>
      <c r="J246" s="575">
        <f>J247+J255+J251</f>
        <v>1177</v>
      </c>
      <c r="K246" s="441"/>
      <c r="L246" s="114"/>
      <c r="N246" s="114"/>
      <c r="O246" s="114"/>
    </row>
    <row r="247" spans="1:15" s="103" customFormat="1" ht="78.75" x14ac:dyDescent="0.25">
      <c r="A247" s="200" t="s">
        <v>575</v>
      </c>
      <c r="B247" s="132" t="s">
        <v>6</v>
      </c>
      <c r="C247" s="331" t="s">
        <v>21</v>
      </c>
      <c r="D247" s="116" t="s">
        <v>122</v>
      </c>
      <c r="E247" s="205"/>
      <c r="F247" s="575">
        <f t="shared" ref="F247:J248" si="38">F248</f>
        <v>728.4</v>
      </c>
      <c r="G247" s="441"/>
      <c r="H247" s="460">
        <f t="shared" si="38"/>
        <v>727</v>
      </c>
      <c r="I247" s="583"/>
      <c r="J247" s="575">
        <f t="shared" si="38"/>
        <v>727</v>
      </c>
      <c r="K247" s="441"/>
      <c r="L247" s="114"/>
      <c r="N247" s="114"/>
      <c r="O247" s="114"/>
    </row>
    <row r="248" spans="1:15" s="103" customFormat="1" ht="31.5" x14ac:dyDescent="0.25">
      <c r="A248" s="184" t="s">
        <v>172</v>
      </c>
      <c r="B248" s="132" t="s">
        <v>6</v>
      </c>
      <c r="C248" s="331" t="s">
        <v>21</v>
      </c>
      <c r="D248" s="116" t="s">
        <v>173</v>
      </c>
      <c r="E248" s="205"/>
      <c r="F248" s="575">
        <f>F249</f>
        <v>728.4</v>
      </c>
      <c r="G248" s="441"/>
      <c r="H248" s="460">
        <f t="shared" si="38"/>
        <v>727</v>
      </c>
      <c r="I248" s="583"/>
      <c r="J248" s="575">
        <f t="shared" si="38"/>
        <v>727</v>
      </c>
      <c r="K248" s="441"/>
      <c r="L248" s="114"/>
      <c r="N248" s="114"/>
      <c r="O248" s="114"/>
    </row>
    <row r="249" spans="1:15" s="103" customFormat="1" x14ac:dyDescent="0.25">
      <c r="A249" s="255" t="s">
        <v>118</v>
      </c>
      <c r="B249" s="132" t="s">
        <v>6</v>
      </c>
      <c r="C249" s="331" t="s">
        <v>21</v>
      </c>
      <c r="D249" s="116" t="s">
        <v>173</v>
      </c>
      <c r="E249" s="205">
        <v>200</v>
      </c>
      <c r="F249" s="575">
        <f>F250</f>
        <v>728.4</v>
      </c>
      <c r="G249" s="441"/>
      <c r="H249" s="460">
        <f>H250</f>
        <v>727</v>
      </c>
      <c r="I249" s="583"/>
      <c r="J249" s="575">
        <f>J250</f>
        <v>727</v>
      </c>
      <c r="K249" s="441"/>
      <c r="L249" s="114"/>
      <c r="N249" s="114"/>
      <c r="O249" s="114"/>
    </row>
    <row r="250" spans="1:15" s="103" customFormat="1" ht="31.5" x14ac:dyDescent="0.25">
      <c r="A250" s="255" t="s">
        <v>51</v>
      </c>
      <c r="B250" s="132" t="s">
        <v>6</v>
      </c>
      <c r="C250" s="331" t="s">
        <v>21</v>
      </c>
      <c r="D250" s="116" t="s">
        <v>173</v>
      </c>
      <c r="E250" s="205">
        <v>240</v>
      </c>
      <c r="F250" s="575">
        <f>'ведом. 2025-2027'!AD170</f>
        <v>728.4</v>
      </c>
      <c r="G250" s="441"/>
      <c r="H250" s="460">
        <f>'ведом. 2025-2027'!AE170</f>
        <v>727</v>
      </c>
      <c r="I250" s="583"/>
      <c r="J250" s="575">
        <f>'ведом. 2025-2027'!AF170</f>
        <v>727</v>
      </c>
      <c r="K250" s="441"/>
      <c r="L250" s="114"/>
      <c r="N250" s="114"/>
      <c r="O250" s="114"/>
    </row>
    <row r="251" spans="1:15" s="103" customFormat="1" ht="47.25" x14ac:dyDescent="0.25">
      <c r="A251" s="294" t="s">
        <v>667</v>
      </c>
      <c r="B251" s="509" t="s">
        <v>6</v>
      </c>
      <c r="C251" s="297" t="s">
        <v>21</v>
      </c>
      <c r="D251" s="409" t="s">
        <v>711</v>
      </c>
      <c r="E251" s="551"/>
      <c r="F251" s="575">
        <f>F252</f>
        <v>100</v>
      </c>
      <c r="G251" s="441"/>
      <c r="H251" s="460">
        <f t="shared" ref="H251:J253" si="39">H252</f>
        <v>0</v>
      </c>
      <c r="I251" s="583"/>
      <c r="J251" s="575">
        <f t="shared" si="39"/>
        <v>0</v>
      </c>
      <c r="K251" s="441"/>
      <c r="L251" s="114"/>
      <c r="N251" s="114"/>
      <c r="O251" s="114"/>
    </row>
    <row r="252" spans="1:15" s="103" customFormat="1" ht="31.5" x14ac:dyDescent="0.25">
      <c r="A252" s="294" t="s">
        <v>668</v>
      </c>
      <c r="B252" s="509" t="s">
        <v>6</v>
      </c>
      <c r="C252" s="297" t="s">
        <v>21</v>
      </c>
      <c r="D252" s="409" t="s">
        <v>669</v>
      </c>
      <c r="E252" s="551"/>
      <c r="F252" s="575">
        <f>F253</f>
        <v>100</v>
      </c>
      <c r="G252" s="441"/>
      <c r="H252" s="460">
        <f t="shared" si="39"/>
        <v>0</v>
      </c>
      <c r="I252" s="583"/>
      <c r="J252" s="575">
        <f t="shared" si="39"/>
        <v>0</v>
      </c>
      <c r="K252" s="441"/>
      <c r="L252" s="114"/>
      <c r="N252" s="114"/>
      <c r="O252" s="114"/>
    </row>
    <row r="253" spans="1:15" s="103" customFormat="1" x14ac:dyDescent="0.25">
      <c r="A253" s="294" t="s">
        <v>118</v>
      </c>
      <c r="B253" s="509" t="s">
        <v>6</v>
      </c>
      <c r="C253" s="297" t="s">
        <v>21</v>
      </c>
      <c r="D253" s="409" t="s">
        <v>669</v>
      </c>
      <c r="E253" s="551">
        <v>200</v>
      </c>
      <c r="F253" s="575">
        <f>F254</f>
        <v>100</v>
      </c>
      <c r="G253" s="441"/>
      <c r="H253" s="460">
        <f t="shared" si="39"/>
        <v>0</v>
      </c>
      <c r="I253" s="583"/>
      <c r="J253" s="575">
        <f t="shared" si="39"/>
        <v>0</v>
      </c>
      <c r="K253" s="441"/>
      <c r="L253" s="114"/>
      <c r="N253" s="114"/>
      <c r="O253" s="114"/>
    </row>
    <row r="254" spans="1:15" s="103" customFormat="1" ht="31.5" x14ac:dyDescent="0.25">
      <c r="A254" s="255" t="s">
        <v>51</v>
      </c>
      <c r="B254" s="509" t="s">
        <v>6</v>
      </c>
      <c r="C254" s="297" t="s">
        <v>21</v>
      </c>
      <c r="D254" s="409" t="s">
        <v>669</v>
      </c>
      <c r="E254" s="551">
        <v>240</v>
      </c>
      <c r="F254" s="575">
        <f>'ведом. 2025-2027'!AD174</f>
        <v>100</v>
      </c>
      <c r="G254" s="441"/>
      <c r="H254" s="460">
        <f>'ведом. 2025-2027'!AE174</f>
        <v>0</v>
      </c>
      <c r="I254" s="583"/>
      <c r="J254" s="575">
        <f>'ведом. 2025-2027'!AF174</f>
        <v>0</v>
      </c>
      <c r="K254" s="441"/>
      <c r="L254" s="114"/>
      <c r="N254" s="114"/>
      <c r="O254" s="114"/>
    </row>
    <row r="255" spans="1:15" s="103" customFormat="1" ht="47.25" x14ac:dyDescent="0.25">
      <c r="A255" s="184" t="s">
        <v>554</v>
      </c>
      <c r="B255" s="132" t="s">
        <v>6</v>
      </c>
      <c r="C255" s="331" t="s">
        <v>21</v>
      </c>
      <c r="D255" s="116" t="s">
        <v>553</v>
      </c>
      <c r="E255" s="207"/>
      <c r="F255" s="575">
        <f>F256</f>
        <v>450</v>
      </c>
      <c r="G255" s="441"/>
      <c r="H255" s="460">
        <f>H256</f>
        <v>450</v>
      </c>
      <c r="I255" s="583"/>
      <c r="J255" s="575">
        <f>J256</f>
        <v>450</v>
      </c>
      <c r="K255" s="441"/>
      <c r="L255" s="114"/>
      <c r="N255" s="114"/>
      <c r="O255" s="114"/>
    </row>
    <row r="256" spans="1:15" s="103" customFormat="1" ht="31.5" x14ac:dyDescent="0.25">
      <c r="A256" s="184" t="s">
        <v>555</v>
      </c>
      <c r="B256" s="132" t="s">
        <v>6</v>
      </c>
      <c r="C256" s="331" t="s">
        <v>21</v>
      </c>
      <c r="D256" s="116" t="s">
        <v>556</v>
      </c>
      <c r="E256" s="207"/>
      <c r="F256" s="575">
        <f>F257</f>
        <v>450</v>
      </c>
      <c r="G256" s="441"/>
      <c r="H256" s="460">
        <f>H257</f>
        <v>450</v>
      </c>
      <c r="I256" s="583"/>
      <c r="J256" s="575">
        <f>J257</f>
        <v>450</v>
      </c>
      <c r="K256" s="441"/>
      <c r="L256" s="114"/>
      <c r="N256" s="114"/>
      <c r="O256" s="114"/>
    </row>
    <row r="257" spans="1:15" s="103" customFormat="1" x14ac:dyDescent="0.25">
      <c r="A257" s="255" t="s">
        <v>118</v>
      </c>
      <c r="B257" s="132" t="s">
        <v>6</v>
      </c>
      <c r="C257" s="331" t="s">
        <v>21</v>
      </c>
      <c r="D257" s="116" t="s">
        <v>556</v>
      </c>
      <c r="E257" s="207" t="s">
        <v>36</v>
      </c>
      <c r="F257" s="575">
        <f>F258</f>
        <v>450</v>
      </c>
      <c r="G257" s="441"/>
      <c r="H257" s="460">
        <f>H258</f>
        <v>450</v>
      </c>
      <c r="I257" s="583"/>
      <c r="J257" s="575">
        <f>J258</f>
        <v>450</v>
      </c>
      <c r="K257" s="441"/>
      <c r="L257" s="114"/>
      <c r="N257" s="114"/>
      <c r="O257" s="114"/>
    </row>
    <row r="258" spans="1:15" s="103" customFormat="1" ht="31.5" x14ac:dyDescent="0.25">
      <c r="A258" s="255" t="s">
        <v>51</v>
      </c>
      <c r="B258" s="132" t="s">
        <v>6</v>
      </c>
      <c r="C258" s="331" t="s">
        <v>21</v>
      </c>
      <c r="D258" s="116" t="s">
        <v>556</v>
      </c>
      <c r="E258" s="207" t="s">
        <v>64</v>
      </c>
      <c r="F258" s="575">
        <f>'ведом. 2025-2027'!AD178</f>
        <v>450</v>
      </c>
      <c r="G258" s="441"/>
      <c r="H258" s="460">
        <f>'ведом. 2025-2027'!AE178</f>
        <v>450</v>
      </c>
      <c r="I258" s="583"/>
      <c r="J258" s="575">
        <f>'ведом. 2025-2027'!AF178</f>
        <v>450</v>
      </c>
      <c r="K258" s="441"/>
      <c r="L258" s="114"/>
      <c r="N258" s="114"/>
      <c r="O258" s="114"/>
    </row>
    <row r="259" spans="1:15" s="103" customFormat="1" ht="31.5" x14ac:dyDescent="0.25">
      <c r="A259" s="255" t="s">
        <v>361</v>
      </c>
      <c r="B259" s="132" t="s">
        <v>6</v>
      </c>
      <c r="C259" s="331" t="s">
        <v>35</v>
      </c>
      <c r="D259" s="21"/>
      <c r="E259" s="205"/>
      <c r="F259" s="575">
        <f>F260</f>
        <v>29493.8</v>
      </c>
      <c r="G259" s="441"/>
      <c r="H259" s="460">
        <f t="shared" ref="H259:J259" si="40">H260</f>
        <v>11681</v>
      </c>
      <c r="I259" s="583"/>
      <c r="J259" s="575">
        <f t="shared" si="40"/>
        <v>11717</v>
      </c>
      <c r="K259" s="441"/>
      <c r="L259" s="114"/>
      <c r="N259" s="114"/>
      <c r="O259" s="114"/>
    </row>
    <row r="260" spans="1:15" s="103" customFormat="1" ht="31.5" x14ac:dyDescent="0.25">
      <c r="A260" s="185" t="s">
        <v>159</v>
      </c>
      <c r="B260" s="132" t="s">
        <v>6</v>
      </c>
      <c r="C260" s="331" t="s">
        <v>35</v>
      </c>
      <c r="D260" s="21" t="s">
        <v>100</v>
      </c>
      <c r="E260" s="205"/>
      <c r="F260" s="575">
        <f>F261+F272+F286+F279</f>
        <v>29493.8</v>
      </c>
      <c r="G260" s="441"/>
      <c r="H260" s="460">
        <f>H261+H272+H286+H279</f>
        <v>11681</v>
      </c>
      <c r="I260" s="583"/>
      <c r="J260" s="575">
        <f>J261+J272+J286+J279</f>
        <v>11717</v>
      </c>
      <c r="K260" s="441"/>
      <c r="L260" s="114"/>
      <c r="N260" s="114"/>
      <c r="O260" s="114"/>
    </row>
    <row r="261" spans="1:15" s="103" customFormat="1" ht="31.5" x14ac:dyDescent="0.25">
      <c r="A261" s="299" t="s">
        <v>705</v>
      </c>
      <c r="B261" s="132" t="s">
        <v>6</v>
      </c>
      <c r="C261" s="331" t="s">
        <v>35</v>
      </c>
      <c r="D261" s="116" t="s">
        <v>105</v>
      </c>
      <c r="E261" s="207"/>
      <c r="F261" s="575">
        <f>F262+F266</f>
        <v>415</v>
      </c>
      <c r="G261" s="441"/>
      <c r="H261" s="460">
        <f>H262+H266</f>
        <v>567</v>
      </c>
      <c r="I261" s="583"/>
      <c r="J261" s="575">
        <f>J262+J266</f>
        <v>567</v>
      </c>
      <c r="K261" s="441"/>
      <c r="L261" s="114"/>
      <c r="N261" s="114"/>
      <c r="O261" s="114"/>
    </row>
    <row r="262" spans="1:15" s="103" customFormat="1" ht="31.5" x14ac:dyDescent="0.25">
      <c r="A262" s="200" t="s">
        <v>706</v>
      </c>
      <c r="B262" s="132" t="s">
        <v>6</v>
      </c>
      <c r="C262" s="331" t="s">
        <v>35</v>
      </c>
      <c r="D262" s="116" t="s">
        <v>169</v>
      </c>
      <c r="E262" s="116"/>
      <c r="F262" s="575">
        <f>F263</f>
        <v>340</v>
      </c>
      <c r="G262" s="441"/>
      <c r="H262" s="460">
        <f>H263</f>
        <v>340</v>
      </c>
      <c r="I262" s="583"/>
      <c r="J262" s="575">
        <f>J263</f>
        <v>340</v>
      </c>
      <c r="K262" s="441"/>
      <c r="L262" s="114"/>
      <c r="N262" s="114"/>
      <c r="O262" s="114"/>
    </row>
    <row r="263" spans="1:15" s="103" customFormat="1" ht="33.75" customHeight="1" x14ac:dyDescent="0.25">
      <c r="A263" s="185" t="s">
        <v>736</v>
      </c>
      <c r="B263" s="132" t="s">
        <v>6</v>
      </c>
      <c r="C263" s="331" t="s">
        <v>35</v>
      </c>
      <c r="D263" s="116" t="s">
        <v>550</v>
      </c>
      <c r="E263" s="207"/>
      <c r="F263" s="575">
        <f>F264</f>
        <v>340</v>
      </c>
      <c r="G263" s="441"/>
      <c r="H263" s="460">
        <f>H264</f>
        <v>340</v>
      </c>
      <c r="I263" s="583"/>
      <c r="J263" s="575">
        <f>J264</f>
        <v>340</v>
      </c>
      <c r="K263" s="441"/>
      <c r="L263" s="114"/>
      <c r="N263" s="114"/>
      <c r="O263" s="114"/>
    </row>
    <row r="264" spans="1:15" s="103" customFormat="1" x14ac:dyDescent="0.25">
      <c r="A264" s="252" t="s">
        <v>118</v>
      </c>
      <c r="B264" s="132" t="s">
        <v>6</v>
      </c>
      <c r="C264" s="331" t="s">
        <v>35</v>
      </c>
      <c r="D264" s="116" t="s">
        <v>550</v>
      </c>
      <c r="E264" s="559" t="s">
        <v>36</v>
      </c>
      <c r="F264" s="575">
        <f>F265</f>
        <v>340</v>
      </c>
      <c r="G264" s="441"/>
      <c r="H264" s="460">
        <f>H265</f>
        <v>340</v>
      </c>
      <c r="I264" s="583"/>
      <c r="J264" s="575">
        <f>J265</f>
        <v>340</v>
      </c>
      <c r="K264" s="441"/>
      <c r="L264" s="114"/>
      <c r="N264" s="114"/>
      <c r="O264" s="114"/>
    </row>
    <row r="265" spans="1:15" s="103" customFormat="1" ht="31.5" x14ac:dyDescent="0.25">
      <c r="A265" s="252" t="s">
        <v>51</v>
      </c>
      <c r="B265" s="132" t="s">
        <v>6</v>
      </c>
      <c r="C265" s="331" t="s">
        <v>35</v>
      </c>
      <c r="D265" s="116" t="s">
        <v>550</v>
      </c>
      <c r="E265" s="559" t="s">
        <v>64</v>
      </c>
      <c r="F265" s="575">
        <f>'ведом. 2025-2027'!AD185</f>
        <v>340</v>
      </c>
      <c r="G265" s="441"/>
      <c r="H265" s="460">
        <f xml:space="preserve"> 'ведом. 2025-2027'!AE185</f>
        <v>340</v>
      </c>
      <c r="I265" s="583"/>
      <c r="J265" s="575">
        <f>'ведом. 2025-2027'!AF185</f>
        <v>340</v>
      </c>
      <c r="K265" s="441"/>
      <c r="L265" s="114"/>
      <c r="N265" s="114"/>
      <c r="O265" s="114"/>
    </row>
    <row r="266" spans="1:15" s="103" customFormat="1" ht="47.25" x14ac:dyDescent="0.25">
      <c r="A266" s="255" t="s">
        <v>708</v>
      </c>
      <c r="B266" s="132" t="s">
        <v>6</v>
      </c>
      <c r="C266" s="331" t="s">
        <v>35</v>
      </c>
      <c r="D266" s="116" t="s">
        <v>551</v>
      </c>
      <c r="E266" s="207"/>
      <c r="F266" s="575">
        <f>F267</f>
        <v>75</v>
      </c>
      <c r="G266" s="441"/>
      <c r="H266" s="460">
        <f>H267</f>
        <v>227</v>
      </c>
      <c r="I266" s="583"/>
      <c r="J266" s="575">
        <f>J267</f>
        <v>227</v>
      </c>
      <c r="K266" s="441"/>
      <c r="L266" s="114"/>
      <c r="N266" s="114"/>
      <c r="O266" s="114"/>
    </row>
    <row r="267" spans="1:15" s="103" customFormat="1" ht="31.5" x14ac:dyDescent="0.25">
      <c r="A267" s="255" t="s">
        <v>736</v>
      </c>
      <c r="B267" s="132" t="s">
        <v>6</v>
      </c>
      <c r="C267" s="331" t="s">
        <v>35</v>
      </c>
      <c r="D267" s="116" t="s">
        <v>552</v>
      </c>
      <c r="E267" s="207"/>
      <c r="F267" s="575">
        <f>F268+F270</f>
        <v>75</v>
      </c>
      <c r="G267" s="441"/>
      <c r="H267" s="460">
        <f>H268+H270</f>
        <v>227</v>
      </c>
      <c r="I267" s="583"/>
      <c r="J267" s="575">
        <f>J268+J270</f>
        <v>227</v>
      </c>
      <c r="K267" s="441"/>
      <c r="L267" s="114"/>
      <c r="N267" s="114"/>
      <c r="O267" s="114"/>
    </row>
    <row r="268" spans="1:15" s="103" customFormat="1" x14ac:dyDescent="0.25">
      <c r="A268" s="255" t="s">
        <v>118</v>
      </c>
      <c r="B268" s="132" t="s">
        <v>6</v>
      </c>
      <c r="C268" s="331" t="s">
        <v>35</v>
      </c>
      <c r="D268" s="116" t="s">
        <v>552</v>
      </c>
      <c r="E268" s="207" t="s">
        <v>36</v>
      </c>
      <c r="F268" s="575">
        <f>F269</f>
        <v>0</v>
      </c>
      <c r="G268" s="441"/>
      <c r="H268" s="460">
        <f>H269</f>
        <v>227</v>
      </c>
      <c r="I268" s="583"/>
      <c r="J268" s="575">
        <f>J269</f>
        <v>227</v>
      </c>
      <c r="K268" s="441"/>
      <c r="L268" s="114"/>
      <c r="N268" s="114"/>
      <c r="O268" s="114"/>
    </row>
    <row r="269" spans="1:15" s="103" customFormat="1" ht="31.5" x14ac:dyDescent="0.25">
      <c r="A269" s="255" t="s">
        <v>51</v>
      </c>
      <c r="B269" s="132" t="s">
        <v>6</v>
      </c>
      <c r="C269" s="331" t="s">
        <v>35</v>
      </c>
      <c r="D269" s="116" t="s">
        <v>552</v>
      </c>
      <c r="E269" s="207" t="s">
        <v>64</v>
      </c>
      <c r="F269" s="575">
        <f>'ведом. 2025-2027'!AD189</f>
        <v>0</v>
      </c>
      <c r="G269" s="441"/>
      <c r="H269" s="460">
        <f>'ведом. 2025-2027'!AE189</f>
        <v>227</v>
      </c>
      <c r="I269" s="583"/>
      <c r="J269" s="575">
        <f>'ведом. 2025-2027'!AF189</f>
        <v>227</v>
      </c>
      <c r="K269" s="441"/>
      <c r="L269" s="114"/>
      <c r="N269" s="114"/>
      <c r="O269" s="114"/>
    </row>
    <row r="270" spans="1:15" s="103" customFormat="1" ht="31.5" x14ac:dyDescent="0.25">
      <c r="A270" s="255" t="s">
        <v>59</v>
      </c>
      <c r="B270" s="132" t="s">
        <v>6</v>
      </c>
      <c r="C270" s="331" t="s">
        <v>35</v>
      </c>
      <c r="D270" s="116" t="s">
        <v>552</v>
      </c>
      <c r="E270" s="207" t="s">
        <v>382</v>
      </c>
      <c r="F270" s="575">
        <f>F271</f>
        <v>75</v>
      </c>
      <c r="G270" s="441"/>
      <c r="H270" s="460">
        <f>H271</f>
        <v>0</v>
      </c>
      <c r="I270" s="583"/>
      <c r="J270" s="575">
        <f>J271</f>
        <v>0</v>
      </c>
      <c r="K270" s="441"/>
      <c r="L270" s="114"/>
      <c r="N270" s="114"/>
      <c r="O270" s="114"/>
    </row>
    <row r="271" spans="1:15" s="103" customFormat="1" x14ac:dyDescent="0.25">
      <c r="A271" s="255" t="s">
        <v>60</v>
      </c>
      <c r="B271" s="132" t="s">
        <v>6</v>
      </c>
      <c r="C271" s="331" t="s">
        <v>35</v>
      </c>
      <c r="D271" s="116" t="s">
        <v>552</v>
      </c>
      <c r="E271" s="207" t="s">
        <v>383</v>
      </c>
      <c r="F271" s="575">
        <f>'ведом. 2025-2027'!AD191</f>
        <v>75</v>
      </c>
      <c r="G271" s="441"/>
      <c r="H271" s="460">
        <f>'ведом. 2025-2027'!AE191</f>
        <v>0</v>
      </c>
      <c r="I271" s="583"/>
      <c r="J271" s="575">
        <f>'ведом. 2025-2027'!AF191</f>
        <v>0</v>
      </c>
      <c r="K271" s="441"/>
      <c r="L271" s="114"/>
      <c r="N271" s="114"/>
      <c r="O271" s="114"/>
    </row>
    <row r="272" spans="1:15" s="103" customFormat="1" ht="31.5" x14ac:dyDescent="0.25">
      <c r="A272" s="185" t="s">
        <v>352</v>
      </c>
      <c r="B272" s="132" t="s">
        <v>6</v>
      </c>
      <c r="C272" s="331" t="s">
        <v>35</v>
      </c>
      <c r="D272" s="116" t="s">
        <v>102</v>
      </c>
      <c r="E272" s="334"/>
      <c r="F272" s="575">
        <f>F273</f>
        <v>557.1</v>
      </c>
      <c r="G272" s="441"/>
      <c r="H272" s="460">
        <f>H273</f>
        <v>694</v>
      </c>
      <c r="I272" s="583"/>
      <c r="J272" s="575">
        <f>J273</f>
        <v>694</v>
      </c>
      <c r="K272" s="441"/>
      <c r="L272" s="114"/>
      <c r="N272" s="114"/>
      <c r="O272" s="114"/>
    </row>
    <row r="273" spans="1:15" s="103" customFormat="1" ht="31.5" x14ac:dyDescent="0.25">
      <c r="A273" s="184" t="s">
        <v>557</v>
      </c>
      <c r="B273" s="132" t="s">
        <v>6</v>
      </c>
      <c r="C273" s="331" t="s">
        <v>35</v>
      </c>
      <c r="D273" s="116" t="s">
        <v>123</v>
      </c>
      <c r="E273" s="207"/>
      <c r="F273" s="575">
        <f>F274</f>
        <v>557.1</v>
      </c>
      <c r="G273" s="441"/>
      <c r="H273" s="460">
        <f>H274</f>
        <v>694</v>
      </c>
      <c r="I273" s="583"/>
      <c r="J273" s="575">
        <f>J274</f>
        <v>694</v>
      </c>
      <c r="K273" s="441"/>
      <c r="L273" s="114"/>
      <c r="N273" s="114"/>
      <c r="O273" s="114"/>
    </row>
    <row r="274" spans="1:15" s="103" customFormat="1" ht="31.5" x14ac:dyDescent="0.25">
      <c r="A274" s="294" t="s">
        <v>737</v>
      </c>
      <c r="B274" s="132" t="s">
        <v>6</v>
      </c>
      <c r="C274" s="331" t="s">
        <v>35</v>
      </c>
      <c r="D274" s="116" t="s">
        <v>171</v>
      </c>
      <c r="E274" s="334"/>
      <c r="F274" s="575">
        <f>F275+F277</f>
        <v>557.1</v>
      </c>
      <c r="G274" s="441"/>
      <c r="H274" s="460">
        <f>H275+H277</f>
        <v>694</v>
      </c>
      <c r="I274" s="583"/>
      <c r="J274" s="575">
        <f>J275+J277</f>
        <v>694</v>
      </c>
      <c r="K274" s="441"/>
      <c r="L274" s="114"/>
      <c r="N274" s="114"/>
      <c r="O274" s="114"/>
    </row>
    <row r="275" spans="1:15" s="103" customFormat="1" x14ac:dyDescent="0.25">
      <c r="A275" s="255" t="s">
        <v>118</v>
      </c>
      <c r="B275" s="132" t="s">
        <v>6</v>
      </c>
      <c r="C275" s="331" t="s">
        <v>35</v>
      </c>
      <c r="D275" s="116" t="s">
        <v>171</v>
      </c>
      <c r="E275" s="207" t="s">
        <v>36</v>
      </c>
      <c r="F275" s="575">
        <f>F276</f>
        <v>307.10000000000002</v>
      </c>
      <c r="G275" s="441"/>
      <c r="H275" s="460">
        <f>H276</f>
        <v>355.5</v>
      </c>
      <c r="I275" s="583"/>
      <c r="J275" s="575">
        <f>J276</f>
        <v>435</v>
      </c>
      <c r="K275" s="441"/>
      <c r="L275" s="114"/>
      <c r="N275" s="114"/>
      <c r="O275" s="114"/>
    </row>
    <row r="276" spans="1:15" s="103" customFormat="1" ht="31.5" x14ac:dyDescent="0.25">
      <c r="A276" s="255" t="s">
        <v>51</v>
      </c>
      <c r="B276" s="132" t="s">
        <v>6</v>
      </c>
      <c r="C276" s="331" t="s">
        <v>35</v>
      </c>
      <c r="D276" s="116" t="s">
        <v>171</v>
      </c>
      <c r="E276" s="207" t="s">
        <v>64</v>
      </c>
      <c r="F276" s="575">
        <f>'ведом. 2025-2027'!AD196</f>
        <v>307.10000000000002</v>
      </c>
      <c r="G276" s="441"/>
      <c r="H276" s="460">
        <f>'ведом. 2025-2027'!AE196</f>
        <v>355.5</v>
      </c>
      <c r="I276" s="583"/>
      <c r="J276" s="575">
        <f>'ведом. 2025-2027'!AF196</f>
        <v>435</v>
      </c>
      <c r="K276" s="441"/>
      <c r="L276" s="114"/>
      <c r="N276" s="114"/>
      <c r="O276" s="114"/>
    </row>
    <row r="277" spans="1:15" s="103" customFormat="1" ht="31.5" x14ac:dyDescent="0.25">
      <c r="A277" s="255" t="s">
        <v>59</v>
      </c>
      <c r="B277" s="132" t="s">
        <v>6</v>
      </c>
      <c r="C277" s="331" t="s">
        <v>35</v>
      </c>
      <c r="D277" s="116" t="s">
        <v>171</v>
      </c>
      <c r="E277" s="207" t="s">
        <v>382</v>
      </c>
      <c r="F277" s="575">
        <f>F278</f>
        <v>250</v>
      </c>
      <c r="G277" s="441"/>
      <c r="H277" s="460">
        <f>H278</f>
        <v>338.5</v>
      </c>
      <c r="I277" s="583"/>
      <c r="J277" s="575">
        <f>J278</f>
        <v>259</v>
      </c>
      <c r="K277" s="441"/>
      <c r="L277" s="114"/>
      <c r="N277" s="114"/>
      <c r="O277" s="114"/>
    </row>
    <row r="278" spans="1:15" s="103" customFormat="1" x14ac:dyDescent="0.25">
      <c r="A278" s="255" t="s">
        <v>60</v>
      </c>
      <c r="B278" s="132" t="s">
        <v>6</v>
      </c>
      <c r="C278" s="331" t="s">
        <v>35</v>
      </c>
      <c r="D278" s="116" t="s">
        <v>171</v>
      </c>
      <c r="E278" s="207" t="s">
        <v>383</v>
      </c>
      <c r="F278" s="575">
        <f>'ведом. 2025-2027'!AD198</f>
        <v>250</v>
      </c>
      <c r="G278" s="441"/>
      <c r="H278" s="460">
        <f>'ведом. 2025-2027'!AE198</f>
        <v>338.5</v>
      </c>
      <c r="I278" s="583"/>
      <c r="J278" s="575">
        <f>'ведом. 2025-2027'!AF198</f>
        <v>259</v>
      </c>
      <c r="K278" s="441"/>
      <c r="L278" s="114"/>
      <c r="N278" s="114"/>
      <c r="O278" s="114"/>
    </row>
    <row r="279" spans="1:15" s="103" customFormat="1" ht="31.5" x14ac:dyDescent="0.25">
      <c r="A279" s="255" t="s">
        <v>558</v>
      </c>
      <c r="B279" s="132" t="s">
        <v>6</v>
      </c>
      <c r="C279" s="331" t="s">
        <v>35</v>
      </c>
      <c r="D279" s="116" t="s">
        <v>106</v>
      </c>
      <c r="E279" s="207"/>
      <c r="F279" s="575">
        <f>F280</f>
        <v>870</v>
      </c>
      <c r="G279" s="441"/>
      <c r="H279" s="460">
        <f>H280</f>
        <v>770</v>
      </c>
      <c r="I279" s="583"/>
      <c r="J279" s="575">
        <f>J280</f>
        <v>770</v>
      </c>
      <c r="K279" s="441"/>
      <c r="L279" s="114"/>
      <c r="N279" s="114"/>
      <c r="O279" s="114"/>
    </row>
    <row r="280" spans="1:15" s="103" customFormat="1" ht="31.5" x14ac:dyDescent="0.25">
      <c r="A280" s="255" t="s">
        <v>559</v>
      </c>
      <c r="B280" s="132" t="s">
        <v>6</v>
      </c>
      <c r="C280" s="331" t="s">
        <v>35</v>
      </c>
      <c r="D280" s="116" t="s">
        <v>560</v>
      </c>
      <c r="E280" s="207"/>
      <c r="F280" s="575">
        <f>F281</f>
        <v>870</v>
      </c>
      <c r="G280" s="441"/>
      <c r="H280" s="460">
        <f>H281</f>
        <v>770</v>
      </c>
      <c r="I280" s="583"/>
      <c r="J280" s="575">
        <f>J281</f>
        <v>770</v>
      </c>
      <c r="K280" s="441"/>
      <c r="L280" s="114"/>
      <c r="N280" s="114"/>
      <c r="O280" s="114"/>
    </row>
    <row r="281" spans="1:15" s="103" customFormat="1" ht="31.5" x14ac:dyDescent="0.25">
      <c r="A281" s="255" t="s">
        <v>170</v>
      </c>
      <c r="B281" s="132" t="s">
        <v>6</v>
      </c>
      <c r="C281" s="331" t="s">
        <v>35</v>
      </c>
      <c r="D281" s="116" t="s">
        <v>561</v>
      </c>
      <c r="E281" s="207"/>
      <c r="F281" s="575">
        <f>F284+F282</f>
        <v>870</v>
      </c>
      <c r="G281" s="441"/>
      <c r="H281" s="460">
        <f>H284+H282</f>
        <v>770</v>
      </c>
      <c r="I281" s="583"/>
      <c r="J281" s="575">
        <f>J284+J282</f>
        <v>770</v>
      </c>
      <c r="K281" s="441"/>
      <c r="L281" s="114"/>
      <c r="N281" s="114"/>
      <c r="O281" s="114"/>
    </row>
    <row r="282" spans="1:15" s="103" customFormat="1" x14ac:dyDescent="0.25">
      <c r="A282" s="294" t="s">
        <v>118</v>
      </c>
      <c r="B282" s="132" t="s">
        <v>6</v>
      </c>
      <c r="C282" s="331" t="s">
        <v>35</v>
      </c>
      <c r="D282" s="116" t="s">
        <v>561</v>
      </c>
      <c r="E282" s="207" t="s">
        <v>36</v>
      </c>
      <c r="F282" s="575">
        <f>F283</f>
        <v>100</v>
      </c>
      <c r="G282" s="441"/>
      <c r="H282" s="460">
        <f>H283</f>
        <v>0</v>
      </c>
      <c r="I282" s="583"/>
      <c r="J282" s="575">
        <f>J283</f>
        <v>0</v>
      </c>
      <c r="K282" s="441"/>
      <c r="L282" s="114"/>
      <c r="N282" s="114"/>
      <c r="O282" s="114"/>
    </row>
    <row r="283" spans="1:15" s="103" customFormat="1" ht="21" customHeight="1" x14ac:dyDescent="0.25">
      <c r="A283" s="294" t="s">
        <v>51</v>
      </c>
      <c r="B283" s="132" t="s">
        <v>6</v>
      </c>
      <c r="C283" s="331" t="s">
        <v>35</v>
      </c>
      <c r="D283" s="116" t="s">
        <v>561</v>
      </c>
      <c r="E283" s="207" t="s">
        <v>64</v>
      </c>
      <c r="F283" s="575">
        <f>'ведом. 2025-2027'!AD203</f>
        <v>100</v>
      </c>
      <c r="G283" s="441"/>
      <c r="H283" s="460">
        <f>'ведом. 2025-2027'!AE203</f>
        <v>0</v>
      </c>
      <c r="I283" s="583"/>
      <c r="J283" s="575">
        <f>'ведом. 2025-2027'!AF203</f>
        <v>0</v>
      </c>
      <c r="K283" s="441"/>
      <c r="L283" s="114"/>
      <c r="N283" s="114"/>
      <c r="O283" s="114"/>
    </row>
    <row r="284" spans="1:15" s="103" customFormat="1" ht="31.5" x14ac:dyDescent="0.25">
      <c r="A284" s="255" t="s">
        <v>59</v>
      </c>
      <c r="B284" s="132" t="s">
        <v>6</v>
      </c>
      <c r="C284" s="331" t="s">
        <v>35</v>
      </c>
      <c r="D284" s="116" t="s">
        <v>561</v>
      </c>
      <c r="E284" s="207" t="s">
        <v>382</v>
      </c>
      <c r="F284" s="575">
        <f>F285</f>
        <v>770</v>
      </c>
      <c r="G284" s="441"/>
      <c r="H284" s="460">
        <f>H285</f>
        <v>770</v>
      </c>
      <c r="I284" s="583"/>
      <c r="J284" s="575">
        <f>J285</f>
        <v>770</v>
      </c>
      <c r="K284" s="441"/>
      <c r="L284" s="114"/>
      <c r="N284" s="114"/>
      <c r="O284" s="114"/>
    </row>
    <row r="285" spans="1:15" s="103" customFormat="1" x14ac:dyDescent="0.25">
      <c r="A285" s="255" t="s">
        <v>60</v>
      </c>
      <c r="B285" s="132" t="s">
        <v>6</v>
      </c>
      <c r="C285" s="331" t="s">
        <v>35</v>
      </c>
      <c r="D285" s="116" t="s">
        <v>561</v>
      </c>
      <c r="E285" s="207" t="s">
        <v>383</v>
      </c>
      <c r="F285" s="575">
        <f>'ведом. 2025-2027'!AD205</f>
        <v>770</v>
      </c>
      <c r="G285" s="441"/>
      <c r="H285" s="460">
        <f>'ведом. 2025-2027'!AE205</f>
        <v>770</v>
      </c>
      <c r="I285" s="583"/>
      <c r="J285" s="575">
        <f>'ведом. 2025-2027'!AF205</f>
        <v>770</v>
      </c>
      <c r="K285" s="441"/>
      <c r="L285" s="114"/>
      <c r="N285" s="114"/>
      <c r="O285" s="114"/>
    </row>
    <row r="286" spans="1:15" s="103" customFormat="1" x14ac:dyDescent="0.25">
      <c r="A286" s="184" t="s">
        <v>47</v>
      </c>
      <c r="B286" s="132" t="s">
        <v>6</v>
      </c>
      <c r="C286" s="331" t="s">
        <v>35</v>
      </c>
      <c r="D286" s="116" t="s">
        <v>103</v>
      </c>
      <c r="E286" s="207"/>
      <c r="F286" s="575">
        <f>F287</f>
        <v>27651.7</v>
      </c>
      <c r="G286" s="441"/>
      <c r="H286" s="460">
        <f t="shared" ref="H286:J287" si="41">H287</f>
        <v>9650</v>
      </c>
      <c r="I286" s="583"/>
      <c r="J286" s="575">
        <f t="shared" si="41"/>
        <v>9686</v>
      </c>
      <c r="K286" s="441"/>
      <c r="L286" s="114"/>
      <c r="N286" s="114"/>
      <c r="O286" s="114"/>
    </row>
    <row r="287" spans="1:15" s="103" customFormat="1" ht="31.5" x14ac:dyDescent="0.25">
      <c r="A287" s="184" t="s">
        <v>267</v>
      </c>
      <c r="B287" s="132" t="s">
        <v>6</v>
      </c>
      <c r="C287" s="331" t="s">
        <v>35</v>
      </c>
      <c r="D287" s="116" t="s">
        <v>346</v>
      </c>
      <c r="E287" s="207"/>
      <c r="F287" s="575">
        <f>F288</f>
        <v>27651.7</v>
      </c>
      <c r="G287" s="441"/>
      <c r="H287" s="460">
        <f t="shared" si="41"/>
        <v>9650</v>
      </c>
      <c r="I287" s="583"/>
      <c r="J287" s="575">
        <f t="shared" si="41"/>
        <v>9686</v>
      </c>
      <c r="K287" s="441"/>
      <c r="L287" s="114"/>
      <c r="N287" s="114"/>
      <c r="O287" s="114"/>
    </row>
    <row r="288" spans="1:15" s="103" customFormat="1" x14ac:dyDescent="0.25">
      <c r="A288" s="184" t="s">
        <v>174</v>
      </c>
      <c r="B288" s="132" t="s">
        <v>6</v>
      </c>
      <c r="C288" s="331" t="s">
        <v>35</v>
      </c>
      <c r="D288" s="116" t="s">
        <v>175</v>
      </c>
      <c r="E288" s="207"/>
      <c r="F288" s="575">
        <f>F289+F291</f>
        <v>27651.7</v>
      </c>
      <c r="G288" s="441"/>
      <c r="H288" s="460">
        <f>H289+H291</f>
        <v>9650</v>
      </c>
      <c r="I288" s="583"/>
      <c r="J288" s="575">
        <f>J289+J291</f>
        <v>9686</v>
      </c>
      <c r="K288" s="441"/>
      <c r="L288" s="114"/>
      <c r="N288" s="114"/>
      <c r="O288" s="114"/>
    </row>
    <row r="289" spans="1:15" s="103" customFormat="1" ht="47.25" x14ac:dyDescent="0.25">
      <c r="A289" s="255" t="s">
        <v>148</v>
      </c>
      <c r="B289" s="132" t="s">
        <v>6</v>
      </c>
      <c r="C289" s="331" t="s">
        <v>35</v>
      </c>
      <c r="D289" s="116" t="s">
        <v>175</v>
      </c>
      <c r="E289" s="207" t="s">
        <v>125</v>
      </c>
      <c r="F289" s="575">
        <f>F290</f>
        <v>25585.5</v>
      </c>
      <c r="G289" s="441"/>
      <c r="H289" s="460">
        <f>H290</f>
        <v>7883.8</v>
      </c>
      <c r="I289" s="583"/>
      <c r="J289" s="575">
        <f>J290</f>
        <v>7919.8</v>
      </c>
      <c r="K289" s="441"/>
      <c r="L289" s="114"/>
      <c r="N289" s="114"/>
      <c r="O289" s="114"/>
    </row>
    <row r="290" spans="1:15" s="103" customFormat="1" x14ac:dyDescent="0.25">
      <c r="A290" s="255" t="s">
        <v>67</v>
      </c>
      <c r="B290" s="132" t="s">
        <v>6</v>
      </c>
      <c r="C290" s="331" t="s">
        <v>35</v>
      </c>
      <c r="D290" s="116" t="s">
        <v>175</v>
      </c>
      <c r="E290" s="207" t="s">
        <v>126</v>
      </c>
      <c r="F290" s="575">
        <f>'ведом. 2025-2027'!AD210</f>
        <v>25585.5</v>
      </c>
      <c r="G290" s="441"/>
      <c r="H290" s="460">
        <f>'ведом. 2025-2027'!AE210</f>
        <v>7883.8</v>
      </c>
      <c r="I290" s="583"/>
      <c r="J290" s="575">
        <f>'ведом. 2025-2027'!AF210</f>
        <v>7919.8</v>
      </c>
      <c r="K290" s="441"/>
      <c r="L290" s="114"/>
      <c r="N290" s="114"/>
      <c r="O290" s="114"/>
    </row>
    <row r="291" spans="1:15" s="103" customFormat="1" x14ac:dyDescent="0.25">
      <c r="A291" s="255" t="s">
        <v>118</v>
      </c>
      <c r="B291" s="132" t="s">
        <v>6</v>
      </c>
      <c r="C291" s="331" t="s">
        <v>35</v>
      </c>
      <c r="D291" s="116" t="s">
        <v>175</v>
      </c>
      <c r="E291" s="207" t="s">
        <v>36</v>
      </c>
      <c r="F291" s="575">
        <f>F292</f>
        <v>2066.1999999999998</v>
      </c>
      <c r="G291" s="441"/>
      <c r="H291" s="460">
        <f>H292</f>
        <v>1766.2</v>
      </c>
      <c r="I291" s="583"/>
      <c r="J291" s="575">
        <f>J292</f>
        <v>1766.2</v>
      </c>
      <c r="K291" s="441"/>
      <c r="L291" s="114"/>
      <c r="N291" s="114"/>
      <c r="O291" s="114"/>
    </row>
    <row r="292" spans="1:15" s="103" customFormat="1" ht="31.5" x14ac:dyDescent="0.25">
      <c r="A292" s="255" t="s">
        <v>51</v>
      </c>
      <c r="B292" s="132" t="s">
        <v>6</v>
      </c>
      <c r="C292" s="331" t="s">
        <v>35</v>
      </c>
      <c r="D292" s="116" t="s">
        <v>175</v>
      </c>
      <c r="E292" s="207" t="s">
        <v>64</v>
      </c>
      <c r="F292" s="575">
        <f>'ведом. 2025-2027'!AD212</f>
        <v>2066.1999999999998</v>
      </c>
      <c r="G292" s="441"/>
      <c r="H292" s="460">
        <f>'ведом. 2025-2027'!AE212</f>
        <v>1766.2</v>
      </c>
      <c r="I292" s="583"/>
      <c r="J292" s="575">
        <f>'ведом. 2025-2027'!AF212</f>
        <v>1766.2</v>
      </c>
      <c r="K292" s="441"/>
      <c r="L292" s="114"/>
      <c r="N292" s="114"/>
      <c r="O292" s="114"/>
    </row>
    <row r="293" spans="1:15" s="103" customFormat="1" ht="31.5" x14ac:dyDescent="0.25">
      <c r="A293" s="255" t="s">
        <v>149</v>
      </c>
      <c r="B293" s="132" t="s">
        <v>6</v>
      </c>
      <c r="C293" s="331">
        <v>14</v>
      </c>
      <c r="D293" s="21"/>
      <c r="E293" s="207"/>
      <c r="F293" s="575">
        <f>F294+F304</f>
        <v>19889.2</v>
      </c>
      <c r="G293" s="441"/>
      <c r="H293" s="460">
        <f>H294+H304</f>
        <v>12118.8</v>
      </c>
      <c r="I293" s="583"/>
      <c r="J293" s="575">
        <f>J294+J304</f>
        <v>10049.199999999999</v>
      </c>
      <c r="K293" s="441"/>
      <c r="L293" s="114"/>
      <c r="N293" s="114"/>
      <c r="O293" s="114"/>
    </row>
    <row r="294" spans="1:15" s="103" customFormat="1" ht="31.5" x14ac:dyDescent="0.25">
      <c r="A294" s="185" t="s">
        <v>159</v>
      </c>
      <c r="B294" s="132" t="s">
        <v>6</v>
      </c>
      <c r="C294" s="331">
        <v>14</v>
      </c>
      <c r="D294" s="21" t="s">
        <v>100</v>
      </c>
      <c r="E294" s="207"/>
      <c r="F294" s="575">
        <f>F295</f>
        <v>18739.2</v>
      </c>
      <c r="G294" s="441"/>
      <c r="H294" s="460">
        <f>H295</f>
        <v>12118.8</v>
      </c>
      <c r="I294" s="583"/>
      <c r="J294" s="575">
        <f>J295</f>
        <v>10049.199999999999</v>
      </c>
      <c r="K294" s="441"/>
      <c r="L294" s="114"/>
      <c r="N294" s="114"/>
      <c r="O294" s="114"/>
    </row>
    <row r="295" spans="1:15" s="103" customFormat="1" x14ac:dyDescent="0.25">
      <c r="A295" s="185" t="s">
        <v>160</v>
      </c>
      <c r="B295" s="132" t="s">
        <v>6</v>
      </c>
      <c r="C295" s="331">
        <v>14</v>
      </c>
      <c r="D295" s="21" t="s">
        <v>104</v>
      </c>
      <c r="E295" s="207"/>
      <c r="F295" s="575">
        <f>F296+F300</f>
        <v>18739.2</v>
      </c>
      <c r="G295" s="441"/>
      <c r="H295" s="460">
        <f>H296+H300</f>
        <v>12118.8</v>
      </c>
      <c r="I295" s="583"/>
      <c r="J295" s="575">
        <f>J296+J300</f>
        <v>10049.199999999999</v>
      </c>
      <c r="K295" s="441"/>
      <c r="L295" s="114"/>
      <c r="N295" s="114"/>
      <c r="O295" s="114"/>
    </row>
    <row r="296" spans="1:15" s="103" customFormat="1" ht="31.5" x14ac:dyDescent="0.25">
      <c r="A296" s="184" t="s">
        <v>161</v>
      </c>
      <c r="B296" s="132" t="s">
        <v>6</v>
      </c>
      <c r="C296" s="331">
        <v>14</v>
      </c>
      <c r="D296" s="116" t="s">
        <v>121</v>
      </c>
      <c r="E296" s="205"/>
      <c r="F296" s="575">
        <f>F297</f>
        <v>464.79999999999995</v>
      </c>
      <c r="G296" s="441"/>
      <c r="H296" s="460">
        <f>H297</f>
        <v>64.8</v>
      </c>
      <c r="I296" s="583"/>
      <c r="J296" s="575">
        <f>J297</f>
        <v>64.8</v>
      </c>
      <c r="K296" s="441"/>
      <c r="L296" s="114"/>
      <c r="N296" s="114"/>
      <c r="O296" s="114"/>
    </row>
    <row r="297" spans="1:15" s="103" customFormat="1" ht="31.5" x14ac:dyDescent="0.25">
      <c r="A297" s="184" t="s">
        <v>162</v>
      </c>
      <c r="B297" s="132" t="s">
        <v>6</v>
      </c>
      <c r="C297" s="331">
        <v>14</v>
      </c>
      <c r="D297" s="116" t="s">
        <v>163</v>
      </c>
      <c r="E297" s="205"/>
      <c r="F297" s="575">
        <f>F298</f>
        <v>464.79999999999995</v>
      </c>
      <c r="G297" s="441"/>
      <c r="H297" s="460">
        <f>H298</f>
        <v>64.8</v>
      </c>
      <c r="I297" s="583"/>
      <c r="J297" s="575">
        <f>J298</f>
        <v>64.8</v>
      </c>
      <c r="K297" s="441"/>
      <c r="L297" s="114"/>
      <c r="N297" s="114"/>
      <c r="O297" s="114"/>
    </row>
    <row r="298" spans="1:15" s="103" customFormat="1" ht="31.5" x14ac:dyDescent="0.25">
      <c r="A298" s="252" t="s">
        <v>59</v>
      </c>
      <c r="B298" s="132" t="s">
        <v>6</v>
      </c>
      <c r="C298" s="331">
        <v>14</v>
      </c>
      <c r="D298" s="116" t="s">
        <v>163</v>
      </c>
      <c r="E298" s="334">
        <v>600</v>
      </c>
      <c r="F298" s="575">
        <f>F299</f>
        <v>464.79999999999995</v>
      </c>
      <c r="G298" s="441"/>
      <c r="H298" s="460">
        <f>H299</f>
        <v>64.8</v>
      </c>
      <c r="I298" s="583"/>
      <c r="J298" s="575">
        <f>J299</f>
        <v>64.8</v>
      </c>
      <c r="K298" s="441"/>
      <c r="L298" s="114"/>
      <c r="N298" s="114"/>
      <c r="O298" s="114"/>
    </row>
    <row r="299" spans="1:15" s="103" customFormat="1" ht="47.25" x14ac:dyDescent="0.25">
      <c r="A299" s="252" t="s">
        <v>359</v>
      </c>
      <c r="B299" s="132" t="s">
        <v>6</v>
      </c>
      <c r="C299" s="331">
        <v>14</v>
      </c>
      <c r="D299" s="116" t="s">
        <v>163</v>
      </c>
      <c r="E299" s="334">
        <v>630</v>
      </c>
      <c r="F299" s="575">
        <f>'ведом. 2025-2027'!AD219</f>
        <v>464.79999999999995</v>
      </c>
      <c r="G299" s="441"/>
      <c r="H299" s="460">
        <f>'ведом. 2025-2027'!AE219</f>
        <v>64.8</v>
      </c>
      <c r="I299" s="583"/>
      <c r="J299" s="575">
        <f>'ведом. 2025-2027'!AF219</f>
        <v>64.8</v>
      </c>
      <c r="K299" s="441"/>
      <c r="L299" s="114"/>
      <c r="N299" s="114"/>
      <c r="O299" s="114"/>
    </row>
    <row r="300" spans="1:15" s="103" customFormat="1" ht="31.5" x14ac:dyDescent="0.25">
      <c r="A300" s="184" t="s">
        <v>165</v>
      </c>
      <c r="B300" s="132" t="s">
        <v>6</v>
      </c>
      <c r="C300" s="331" t="s">
        <v>43</v>
      </c>
      <c r="D300" s="116" t="s">
        <v>166</v>
      </c>
      <c r="E300" s="334"/>
      <c r="F300" s="575">
        <f t="shared" ref="F300:J301" si="42">F301</f>
        <v>18274.400000000001</v>
      </c>
      <c r="G300" s="441"/>
      <c r="H300" s="460">
        <f t="shared" si="42"/>
        <v>12054</v>
      </c>
      <c r="I300" s="583"/>
      <c r="J300" s="575">
        <f t="shared" si="42"/>
        <v>9984.4</v>
      </c>
      <c r="K300" s="441"/>
      <c r="L300" s="114"/>
      <c r="N300" s="114"/>
      <c r="O300" s="114"/>
    </row>
    <row r="301" spans="1:15" s="103" customFormat="1" x14ac:dyDescent="0.25">
      <c r="A301" s="185" t="s">
        <v>167</v>
      </c>
      <c r="B301" s="132" t="s">
        <v>6</v>
      </c>
      <c r="C301" s="331" t="s">
        <v>43</v>
      </c>
      <c r="D301" s="116" t="s">
        <v>168</v>
      </c>
      <c r="E301" s="334"/>
      <c r="F301" s="575">
        <f>F302</f>
        <v>18274.400000000001</v>
      </c>
      <c r="G301" s="441"/>
      <c r="H301" s="460">
        <f t="shared" si="42"/>
        <v>12054</v>
      </c>
      <c r="I301" s="583"/>
      <c r="J301" s="575">
        <f t="shared" si="42"/>
        <v>9984.4</v>
      </c>
      <c r="K301" s="441"/>
      <c r="L301" s="114"/>
      <c r="N301" s="114"/>
      <c r="O301" s="114"/>
    </row>
    <row r="302" spans="1:15" s="103" customFormat="1" x14ac:dyDescent="0.25">
      <c r="A302" s="255" t="s">
        <v>118</v>
      </c>
      <c r="B302" s="132" t="s">
        <v>6</v>
      </c>
      <c r="C302" s="331" t="s">
        <v>43</v>
      </c>
      <c r="D302" s="116" t="s">
        <v>168</v>
      </c>
      <c r="E302" s="334">
        <v>200</v>
      </c>
      <c r="F302" s="575">
        <f>F303</f>
        <v>18274.400000000001</v>
      </c>
      <c r="G302" s="441"/>
      <c r="H302" s="460">
        <f>H303</f>
        <v>12054</v>
      </c>
      <c r="I302" s="583"/>
      <c r="J302" s="575">
        <f>J303</f>
        <v>9984.4</v>
      </c>
      <c r="K302" s="441"/>
      <c r="L302" s="114"/>
      <c r="N302" s="114"/>
      <c r="O302" s="114"/>
    </row>
    <row r="303" spans="1:15" s="103" customFormat="1" ht="31.5" x14ac:dyDescent="0.25">
      <c r="A303" s="255" t="s">
        <v>51</v>
      </c>
      <c r="B303" s="132" t="s">
        <v>6</v>
      </c>
      <c r="C303" s="331" t="s">
        <v>43</v>
      </c>
      <c r="D303" s="116" t="s">
        <v>168</v>
      </c>
      <c r="E303" s="334">
        <v>240</v>
      </c>
      <c r="F303" s="575">
        <f>'ведом. 2025-2027'!AD223</f>
        <v>18274.400000000001</v>
      </c>
      <c r="G303" s="441"/>
      <c r="H303" s="460">
        <f>'ведом. 2025-2027'!AE223</f>
        <v>12054</v>
      </c>
      <c r="I303" s="583"/>
      <c r="J303" s="575">
        <f>'ведом. 2025-2027'!AF223</f>
        <v>9984.4</v>
      </c>
      <c r="K303" s="441"/>
      <c r="L303" s="114"/>
      <c r="N303" s="114"/>
      <c r="O303" s="114"/>
    </row>
    <row r="304" spans="1:15" s="103" customFormat="1" x14ac:dyDescent="0.25">
      <c r="A304" s="198" t="s">
        <v>328</v>
      </c>
      <c r="B304" s="509" t="s">
        <v>6</v>
      </c>
      <c r="C304" s="297" t="s">
        <v>43</v>
      </c>
      <c r="D304" s="204" t="s">
        <v>135</v>
      </c>
      <c r="E304" s="552"/>
      <c r="F304" s="575">
        <f>F305</f>
        <v>1150</v>
      </c>
      <c r="G304" s="441"/>
      <c r="H304" s="460">
        <f t="shared" ref="H304:J307" si="43">H305</f>
        <v>0</v>
      </c>
      <c r="I304" s="583"/>
      <c r="J304" s="575">
        <f t="shared" si="43"/>
        <v>0</v>
      </c>
      <c r="K304" s="441"/>
      <c r="L304" s="114"/>
      <c r="N304" s="114"/>
      <c r="O304" s="114"/>
    </row>
    <row r="305" spans="1:15" s="103" customFormat="1" x14ac:dyDescent="0.25">
      <c r="A305" s="294" t="s">
        <v>422</v>
      </c>
      <c r="B305" s="509" t="s">
        <v>6</v>
      </c>
      <c r="C305" s="297" t="s">
        <v>43</v>
      </c>
      <c r="D305" s="541" t="s">
        <v>423</v>
      </c>
      <c r="E305" s="552"/>
      <c r="F305" s="575">
        <f>F306</f>
        <v>1150</v>
      </c>
      <c r="G305" s="441"/>
      <c r="H305" s="460">
        <f t="shared" si="43"/>
        <v>0</v>
      </c>
      <c r="I305" s="583"/>
      <c r="J305" s="575">
        <f t="shared" si="43"/>
        <v>0</v>
      </c>
      <c r="K305" s="441"/>
      <c r="L305" s="114"/>
      <c r="N305" s="114"/>
      <c r="O305" s="114"/>
    </row>
    <row r="306" spans="1:15" s="103" customFormat="1" ht="20.25" customHeight="1" x14ac:dyDescent="0.25">
      <c r="A306" s="294" t="s">
        <v>895</v>
      </c>
      <c r="B306" s="509" t="s">
        <v>6</v>
      </c>
      <c r="C306" s="297" t="s">
        <v>43</v>
      </c>
      <c r="D306" s="541" t="s">
        <v>801</v>
      </c>
      <c r="E306" s="552"/>
      <c r="F306" s="575">
        <f>F307</f>
        <v>1150</v>
      </c>
      <c r="G306" s="441"/>
      <c r="H306" s="460">
        <f t="shared" si="43"/>
        <v>0</v>
      </c>
      <c r="I306" s="583"/>
      <c r="J306" s="575">
        <f t="shared" si="43"/>
        <v>0</v>
      </c>
      <c r="K306" s="441"/>
      <c r="L306" s="114"/>
      <c r="N306" s="114"/>
      <c r="O306" s="114"/>
    </row>
    <row r="307" spans="1:15" s="103" customFormat="1" x14ac:dyDescent="0.25">
      <c r="A307" s="294" t="s">
        <v>95</v>
      </c>
      <c r="B307" s="509" t="s">
        <v>6</v>
      </c>
      <c r="C307" s="297" t="s">
        <v>43</v>
      </c>
      <c r="D307" s="541" t="s">
        <v>801</v>
      </c>
      <c r="E307" s="552">
        <v>300</v>
      </c>
      <c r="F307" s="575">
        <f>F308</f>
        <v>1150</v>
      </c>
      <c r="G307" s="441"/>
      <c r="H307" s="460">
        <f t="shared" si="43"/>
        <v>0</v>
      </c>
      <c r="I307" s="583"/>
      <c r="J307" s="575">
        <f t="shared" si="43"/>
        <v>0</v>
      </c>
      <c r="K307" s="441"/>
      <c r="L307" s="114"/>
      <c r="N307" s="114"/>
      <c r="O307" s="114"/>
    </row>
    <row r="308" spans="1:15" s="103" customFormat="1" ht="17.25" thickBot="1" x14ac:dyDescent="0.3">
      <c r="A308" s="469" t="s">
        <v>39</v>
      </c>
      <c r="B308" s="619" t="s">
        <v>6</v>
      </c>
      <c r="C308" s="473" t="s">
        <v>43</v>
      </c>
      <c r="D308" s="620" t="s">
        <v>801</v>
      </c>
      <c r="E308" s="621">
        <v>320</v>
      </c>
      <c r="F308" s="612">
        <f>'ведом. 2025-2027'!AD228</f>
        <v>1150</v>
      </c>
      <c r="G308" s="613"/>
      <c r="H308" s="614">
        <f>'ведом. 2025-2027'!AF228</f>
        <v>0</v>
      </c>
      <c r="I308" s="615"/>
      <c r="J308" s="612">
        <f>'ведом. 2025-2027'!AH228</f>
        <v>0</v>
      </c>
      <c r="K308" s="613"/>
      <c r="L308" s="114"/>
      <c r="N308" s="114"/>
      <c r="O308" s="114"/>
    </row>
    <row r="309" spans="1:15" s="103" customFormat="1" ht="17.25" thickBot="1" x14ac:dyDescent="0.3">
      <c r="A309" s="258" t="s">
        <v>44</v>
      </c>
      <c r="B309" s="616" t="s">
        <v>48</v>
      </c>
      <c r="C309" s="600"/>
      <c r="D309" s="601"/>
      <c r="E309" s="602"/>
      <c r="F309" s="603">
        <f t="shared" ref="F309:K309" si="44">F319+F380+F334+F365+F310</f>
        <v>160862.79999999999</v>
      </c>
      <c r="G309" s="604">
        <f t="shared" si="44"/>
        <v>1296</v>
      </c>
      <c r="H309" s="605">
        <f t="shared" si="44"/>
        <v>129237.7</v>
      </c>
      <c r="I309" s="606">
        <f t="shared" si="44"/>
        <v>1296</v>
      </c>
      <c r="J309" s="603">
        <f t="shared" si="44"/>
        <v>135586.9</v>
      </c>
      <c r="K309" s="604">
        <f t="shared" si="44"/>
        <v>1296</v>
      </c>
      <c r="L309" s="114"/>
      <c r="N309" s="114"/>
      <c r="O309" s="114"/>
    </row>
    <row r="310" spans="1:15" s="103" customFormat="1" ht="18.75" x14ac:dyDescent="0.3">
      <c r="A310" s="592" t="s">
        <v>14</v>
      </c>
      <c r="B310" s="622" t="s">
        <v>48</v>
      </c>
      <c r="C310" s="508" t="s">
        <v>4</v>
      </c>
      <c r="D310" s="623"/>
      <c r="E310" s="624"/>
      <c r="F310" s="595">
        <f t="shared" ref="F310:K313" si="45">F311</f>
        <v>919</v>
      </c>
      <c r="G310" s="596">
        <f t="shared" si="45"/>
        <v>919</v>
      </c>
      <c r="H310" s="597">
        <f t="shared" si="45"/>
        <v>919</v>
      </c>
      <c r="I310" s="598">
        <f t="shared" si="45"/>
        <v>919</v>
      </c>
      <c r="J310" s="595">
        <f t="shared" si="45"/>
        <v>919</v>
      </c>
      <c r="K310" s="596">
        <f t="shared" si="45"/>
        <v>919</v>
      </c>
      <c r="L310" s="114"/>
      <c r="N310" s="114"/>
      <c r="O310" s="114"/>
    </row>
    <row r="311" spans="1:15" s="103" customFormat="1" ht="18.75" x14ac:dyDescent="0.3">
      <c r="A311" s="182" t="s">
        <v>236</v>
      </c>
      <c r="B311" s="9" t="s">
        <v>48</v>
      </c>
      <c r="C311" s="331" t="s">
        <v>4</v>
      </c>
      <c r="D311" s="116" t="s">
        <v>136</v>
      </c>
      <c r="E311" s="560"/>
      <c r="F311" s="575">
        <f t="shared" si="45"/>
        <v>919</v>
      </c>
      <c r="G311" s="441">
        <f t="shared" si="45"/>
        <v>919</v>
      </c>
      <c r="H311" s="460">
        <f t="shared" si="45"/>
        <v>919</v>
      </c>
      <c r="I311" s="583">
        <f t="shared" si="45"/>
        <v>919</v>
      </c>
      <c r="J311" s="575">
        <f t="shared" si="45"/>
        <v>919</v>
      </c>
      <c r="K311" s="441">
        <f t="shared" si="45"/>
        <v>919</v>
      </c>
      <c r="L311" s="114"/>
      <c r="N311" s="114"/>
      <c r="O311" s="114"/>
    </row>
    <row r="312" spans="1:15" s="103" customFormat="1" ht="31.5" x14ac:dyDescent="0.3">
      <c r="A312" s="196" t="s">
        <v>419</v>
      </c>
      <c r="B312" s="9" t="s">
        <v>48</v>
      </c>
      <c r="C312" s="331" t="s">
        <v>4</v>
      </c>
      <c r="D312" s="116" t="s">
        <v>237</v>
      </c>
      <c r="E312" s="560"/>
      <c r="F312" s="575">
        <f t="shared" si="45"/>
        <v>919</v>
      </c>
      <c r="G312" s="441">
        <f t="shared" si="45"/>
        <v>919</v>
      </c>
      <c r="H312" s="460">
        <f t="shared" si="45"/>
        <v>919</v>
      </c>
      <c r="I312" s="583">
        <f t="shared" si="45"/>
        <v>919</v>
      </c>
      <c r="J312" s="575">
        <f t="shared" si="45"/>
        <v>919</v>
      </c>
      <c r="K312" s="441">
        <f t="shared" si="45"/>
        <v>919</v>
      </c>
      <c r="L312" s="114"/>
      <c r="N312" s="114"/>
      <c r="O312" s="114"/>
    </row>
    <row r="313" spans="1:15" s="103" customFormat="1" ht="18.75" x14ac:dyDescent="0.3">
      <c r="A313" s="182" t="s">
        <v>521</v>
      </c>
      <c r="B313" s="9" t="s">
        <v>48</v>
      </c>
      <c r="C313" s="331" t="s">
        <v>4</v>
      </c>
      <c r="D313" s="116" t="s">
        <v>238</v>
      </c>
      <c r="E313" s="560"/>
      <c r="F313" s="575">
        <f t="shared" si="45"/>
        <v>919</v>
      </c>
      <c r="G313" s="441">
        <f t="shared" si="45"/>
        <v>919</v>
      </c>
      <c r="H313" s="460">
        <f t="shared" si="45"/>
        <v>919</v>
      </c>
      <c r="I313" s="583">
        <f t="shared" si="45"/>
        <v>919</v>
      </c>
      <c r="J313" s="575">
        <f t="shared" si="45"/>
        <v>919</v>
      </c>
      <c r="K313" s="441">
        <f t="shared" si="45"/>
        <v>919</v>
      </c>
      <c r="L313" s="114"/>
      <c r="N313" s="114"/>
      <c r="O313" s="114"/>
    </row>
    <row r="314" spans="1:15" s="103" customFormat="1" ht="31.5" x14ac:dyDescent="0.25">
      <c r="A314" s="182" t="s">
        <v>417</v>
      </c>
      <c r="B314" s="9" t="s">
        <v>48</v>
      </c>
      <c r="C314" s="331" t="s">
        <v>4</v>
      </c>
      <c r="D314" s="116" t="s">
        <v>239</v>
      </c>
      <c r="E314" s="334"/>
      <c r="F314" s="575">
        <f t="shared" ref="F314:K314" si="46">F317+F315</f>
        <v>919</v>
      </c>
      <c r="G314" s="441">
        <f t="shared" si="46"/>
        <v>919</v>
      </c>
      <c r="H314" s="460">
        <f t="shared" si="46"/>
        <v>919</v>
      </c>
      <c r="I314" s="583">
        <f t="shared" si="46"/>
        <v>919</v>
      </c>
      <c r="J314" s="575">
        <f t="shared" si="46"/>
        <v>919</v>
      </c>
      <c r="K314" s="441">
        <f t="shared" si="46"/>
        <v>919</v>
      </c>
      <c r="L314" s="114"/>
      <c r="N314" s="114"/>
      <c r="O314" s="114"/>
    </row>
    <row r="315" spans="1:15" s="103" customFormat="1" ht="47.25" x14ac:dyDescent="0.25">
      <c r="A315" s="294" t="s">
        <v>40</v>
      </c>
      <c r="B315" s="295" t="s">
        <v>48</v>
      </c>
      <c r="C315" s="297" t="s">
        <v>4</v>
      </c>
      <c r="D315" s="409" t="s">
        <v>239</v>
      </c>
      <c r="E315" s="552">
        <v>100</v>
      </c>
      <c r="F315" s="575">
        <f>F316</f>
        <v>307</v>
      </c>
      <c r="G315" s="441">
        <f>G316</f>
        <v>307</v>
      </c>
      <c r="H315" s="460">
        <f>H316</f>
        <v>0</v>
      </c>
      <c r="I315" s="583"/>
      <c r="J315" s="575">
        <f>J316</f>
        <v>0</v>
      </c>
      <c r="K315" s="441"/>
      <c r="L315" s="114"/>
      <c r="N315" s="114"/>
      <c r="O315" s="114"/>
    </row>
    <row r="316" spans="1:15" s="103" customFormat="1" x14ac:dyDescent="0.25">
      <c r="A316" s="294" t="s">
        <v>94</v>
      </c>
      <c r="B316" s="295" t="s">
        <v>48</v>
      </c>
      <c r="C316" s="297" t="s">
        <v>4</v>
      </c>
      <c r="D316" s="409" t="s">
        <v>239</v>
      </c>
      <c r="E316" s="552">
        <v>120</v>
      </c>
      <c r="F316" s="575">
        <f>'ведом. 2025-2027'!AD900</f>
        <v>307</v>
      </c>
      <c r="G316" s="441">
        <f>F316</f>
        <v>307</v>
      </c>
      <c r="H316" s="460">
        <f>'ведом. 2025-2027'!AE900</f>
        <v>0</v>
      </c>
      <c r="I316" s="583"/>
      <c r="J316" s="575">
        <f>'ведом. 2025-2027'!AF900</f>
        <v>0</v>
      </c>
      <c r="K316" s="441"/>
      <c r="L316" s="114"/>
      <c r="N316" s="114"/>
      <c r="O316" s="114"/>
    </row>
    <row r="317" spans="1:15" s="103" customFormat="1" x14ac:dyDescent="0.25">
      <c r="A317" s="252" t="s">
        <v>118</v>
      </c>
      <c r="B317" s="9" t="s">
        <v>48</v>
      </c>
      <c r="C317" s="331" t="s">
        <v>4</v>
      </c>
      <c r="D317" s="116" t="s">
        <v>239</v>
      </c>
      <c r="E317" s="205">
        <v>200</v>
      </c>
      <c r="F317" s="575">
        <f t="shared" ref="F317:K317" si="47">F318</f>
        <v>612</v>
      </c>
      <c r="G317" s="441">
        <f t="shared" si="47"/>
        <v>612</v>
      </c>
      <c r="H317" s="460">
        <f t="shared" si="47"/>
        <v>919</v>
      </c>
      <c r="I317" s="583">
        <f t="shared" si="47"/>
        <v>919</v>
      </c>
      <c r="J317" s="575">
        <f t="shared" si="47"/>
        <v>919</v>
      </c>
      <c r="K317" s="441">
        <f t="shared" si="47"/>
        <v>919</v>
      </c>
      <c r="L317" s="114"/>
      <c r="N317" s="114"/>
      <c r="O317" s="114"/>
    </row>
    <row r="318" spans="1:15" s="103" customFormat="1" ht="31.5" x14ac:dyDescent="0.25">
      <c r="A318" s="252" t="s">
        <v>51</v>
      </c>
      <c r="B318" s="9" t="s">
        <v>48</v>
      </c>
      <c r="C318" s="331" t="s">
        <v>4</v>
      </c>
      <c r="D318" s="116" t="s">
        <v>239</v>
      </c>
      <c r="E318" s="334">
        <v>240</v>
      </c>
      <c r="F318" s="575">
        <f>'ведом. 2025-2027'!AD902</f>
        <v>612</v>
      </c>
      <c r="G318" s="441">
        <f>F318</f>
        <v>612</v>
      </c>
      <c r="H318" s="460">
        <f>'ведом. 2025-2027'!AE902</f>
        <v>919</v>
      </c>
      <c r="I318" s="583">
        <f>H318</f>
        <v>919</v>
      </c>
      <c r="J318" s="575">
        <f>'ведом. 2025-2027'!AF902</f>
        <v>919</v>
      </c>
      <c r="K318" s="441">
        <f>J318</f>
        <v>919</v>
      </c>
      <c r="L318" s="114"/>
      <c r="N318" s="114"/>
      <c r="O318" s="114"/>
    </row>
    <row r="319" spans="1:15" s="103" customFormat="1" x14ac:dyDescent="0.25">
      <c r="A319" s="252" t="s">
        <v>70</v>
      </c>
      <c r="B319" s="132" t="s">
        <v>48</v>
      </c>
      <c r="C319" s="331" t="s">
        <v>15</v>
      </c>
      <c r="D319" s="21"/>
      <c r="E319" s="205"/>
      <c r="F319" s="575">
        <f>F320+F327</f>
        <v>34883.700000000004</v>
      </c>
      <c r="G319" s="441"/>
      <c r="H319" s="460">
        <f>H320+H327</f>
        <v>30338.7</v>
      </c>
      <c r="I319" s="583"/>
      <c r="J319" s="575">
        <f>J320+J327</f>
        <v>30337.899999999998</v>
      </c>
      <c r="K319" s="441"/>
      <c r="L319" s="114"/>
      <c r="N319" s="114"/>
      <c r="O319" s="114"/>
    </row>
    <row r="320" spans="1:15" s="103" customFormat="1" x14ac:dyDescent="0.25">
      <c r="A320" s="182" t="s">
        <v>184</v>
      </c>
      <c r="B320" s="133" t="s">
        <v>48</v>
      </c>
      <c r="C320" s="128" t="s">
        <v>15</v>
      </c>
      <c r="D320" s="116" t="s">
        <v>110</v>
      </c>
      <c r="E320" s="553"/>
      <c r="F320" s="575">
        <f t="shared" ref="F320:J325" si="48">F321</f>
        <v>34882.9</v>
      </c>
      <c r="G320" s="441"/>
      <c r="H320" s="460">
        <f t="shared" si="48"/>
        <v>30337.3</v>
      </c>
      <c r="I320" s="583"/>
      <c r="J320" s="575">
        <f t="shared" si="48"/>
        <v>30337.3</v>
      </c>
      <c r="K320" s="441"/>
      <c r="L320" s="114"/>
      <c r="N320" s="114"/>
      <c r="O320" s="114"/>
    </row>
    <row r="321" spans="1:15" s="103" customFormat="1" x14ac:dyDescent="0.25">
      <c r="A321" s="182" t="s">
        <v>187</v>
      </c>
      <c r="B321" s="133" t="s">
        <v>48</v>
      </c>
      <c r="C321" s="128" t="s">
        <v>15</v>
      </c>
      <c r="D321" s="116" t="s">
        <v>188</v>
      </c>
      <c r="E321" s="553"/>
      <c r="F321" s="575">
        <f t="shared" si="48"/>
        <v>34882.9</v>
      </c>
      <c r="G321" s="441"/>
      <c r="H321" s="460">
        <f t="shared" si="48"/>
        <v>30337.3</v>
      </c>
      <c r="I321" s="583"/>
      <c r="J321" s="575">
        <f t="shared" si="48"/>
        <v>30337.3</v>
      </c>
      <c r="K321" s="441"/>
      <c r="L321" s="114"/>
      <c r="N321" s="114"/>
      <c r="O321" s="114"/>
    </row>
    <row r="322" spans="1:15" s="103" customFormat="1" ht="31.5" x14ac:dyDescent="0.25">
      <c r="A322" s="182" t="s">
        <v>189</v>
      </c>
      <c r="B322" s="133" t="s">
        <v>48</v>
      </c>
      <c r="C322" s="128" t="s">
        <v>15</v>
      </c>
      <c r="D322" s="116" t="s">
        <v>190</v>
      </c>
      <c r="E322" s="553"/>
      <c r="F322" s="575">
        <f t="shared" si="48"/>
        <v>34882.9</v>
      </c>
      <c r="G322" s="441"/>
      <c r="H322" s="460">
        <f t="shared" si="48"/>
        <v>30337.3</v>
      </c>
      <c r="I322" s="583"/>
      <c r="J322" s="575">
        <f t="shared" si="48"/>
        <v>30337.3</v>
      </c>
      <c r="K322" s="441"/>
      <c r="L322" s="114"/>
      <c r="N322" s="114"/>
      <c r="O322" s="114"/>
    </row>
    <row r="323" spans="1:15" s="103" customFormat="1" ht="31.5" x14ac:dyDescent="0.25">
      <c r="A323" s="183" t="s">
        <v>201</v>
      </c>
      <c r="B323" s="133" t="s">
        <v>48</v>
      </c>
      <c r="C323" s="128" t="s">
        <v>15</v>
      </c>
      <c r="D323" s="203" t="s">
        <v>202</v>
      </c>
      <c r="E323" s="553"/>
      <c r="F323" s="575">
        <f t="shared" si="48"/>
        <v>34882.9</v>
      </c>
      <c r="G323" s="441"/>
      <c r="H323" s="460">
        <f t="shared" si="48"/>
        <v>30337.3</v>
      </c>
      <c r="I323" s="583"/>
      <c r="J323" s="575">
        <f t="shared" si="48"/>
        <v>30337.3</v>
      </c>
      <c r="K323" s="441"/>
      <c r="L323" s="114"/>
      <c r="N323" s="114"/>
      <c r="O323" s="114"/>
    </row>
    <row r="324" spans="1:15" s="103" customFormat="1" ht="47.25" x14ac:dyDescent="0.25">
      <c r="A324" s="184" t="s">
        <v>364</v>
      </c>
      <c r="B324" s="133" t="s">
        <v>48</v>
      </c>
      <c r="C324" s="128" t="s">
        <v>15</v>
      </c>
      <c r="D324" s="203" t="s">
        <v>314</v>
      </c>
      <c r="E324" s="553"/>
      <c r="F324" s="575">
        <f t="shared" si="48"/>
        <v>34882.9</v>
      </c>
      <c r="G324" s="441"/>
      <c r="H324" s="460">
        <f t="shared" si="48"/>
        <v>30337.3</v>
      </c>
      <c r="I324" s="583"/>
      <c r="J324" s="575">
        <f t="shared" si="48"/>
        <v>30337.3</v>
      </c>
      <c r="K324" s="441"/>
      <c r="L324" s="114"/>
      <c r="N324" s="114"/>
      <c r="O324" s="114"/>
    </row>
    <row r="325" spans="1:15" s="103" customFormat="1" ht="31.5" x14ac:dyDescent="0.25">
      <c r="A325" s="252" t="s">
        <v>59</v>
      </c>
      <c r="B325" s="133" t="s">
        <v>48</v>
      </c>
      <c r="C325" s="128" t="s">
        <v>15</v>
      </c>
      <c r="D325" s="203" t="s">
        <v>314</v>
      </c>
      <c r="E325" s="553">
        <v>600</v>
      </c>
      <c r="F325" s="575">
        <f t="shared" si="48"/>
        <v>34882.9</v>
      </c>
      <c r="G325" s="441"/>
      <c r="H325" s="460">
        <f t="shared" si="48"/>
        <v>30337.3</v>
      </c>
      <c r="I325" s="583"/>
      <c r="J325" s="575">
        <f t="shared" si="48"/>
        <v>30337.3</v>
      </c>
      <c r="K325" s="441"/>
      <c r="L325" s="114"/>
      <c r="N325" s="114"/>
      <c r="O325" s="114"/>
    </row>
    <row r="326" spans="1:15" s="103" customFormat="1" x14ac:dyDescent="0.25">
      <c r="A326" s="252" t="s">
        <v>60</v>
      </c>
      <c r="B326" s="133" t="s">
        <v>48</v>
      </c>
      <c r="C326" s="128" t="s">
        <v>15</v>
      </c>
      <c r="D326" s="203" t="s">
        <v>314</v>
      </c>
      <c r="E326" s="553">
        <v>610</v>
      </c>
      <c r="F326" s="575">
        <f>'ведом. 2025-2027'!AD237</f>
        <v>34882.9</v>
      </c>
      <c r="G326" s="441"/>
      <c r="H326" s="460">
        <f>'ведом. 2025-2027'!AE237</f>
        <v>30337.3</v>
      </c>
      <c r="I326" s="583"/>
      <c r="J326" s="575">
        <f>'ведом. 2025-2027'!AF237</f>
        <v>30337.3</v>
      </c>
      <c r="K326" s="441"/>
      <c r="L326" s="114"/>
      <c r="N326" s="114"/>
      <c r="O326" s="114"/>
    </row>
    <row r="327" spans="1:15" s="103" customFormat="1" ht="31.5" x14ac:dyDescent="0.25">
      <c r="A327" s="182" t="s">
        <v>224</v>
      </c>
      <c r="B327" s="132" t="s">
        <v>48</v>
      </c>
      <c r="C327" s="331" t="s">
        <v>15</v>
      </c>
      <c r="D327" s="116" t="s">
        <v>225</v>
      </c>
      <c r="E327" s="205"/>
      <c r="F327" s="575">
        <f t="shared" ref="F327:J331" si="49">F328</f>
        <v>0.79999999999999993</v>
      </c>
      <c r="G327" s="441"/>
      <c r="H327" s="460">
        <f t="shared" si="49"/>
        <v>1.4000000000000001</v>
      </c>
      <c r="I327" s="583"/>
      <c r="J327" s="575">
        <f t="shared" si="49"/>
        <v>0.6</v>
      </c>
      <c r="K327" s="441"/>
      <c r="L327" s="114"/>
      <c r="N327" s="114"/>
      <c r="O327" s="114"/>
    </row>
    <row r="328" spans="1:15" s="103" customFormat="1" x14ac:dyDescent="0.25">
      <c r="A328" s="182" t="s">
        <v>226</v>
      </c>
      <c r="B328" s="132" t="s">
        <v>48</v>
      </c>
      <c r="C328" s="331" t="s">
        <v>15</v>
      </c>
      <c r="D328" s="116" t="s">
        <v>227</v>
      </c>
      <c r="E328" s="334"/>
      <c r="F328" s="575">
        <f t="shared" si="49"/>
        <v>0.79999999999999993</v>
      </c>
      <c r="G328" s="441"/>
      <c r="H328" s="460">
        <f t="shared" si="49"/>
        <v>1.4000000000000001</v>
      </c>
      <c r="I328" s="583"/>
      <c r="J328" s="575">
        <f t="shared" si="49"/>
        <v>0.6</v>
      </c>
      <c r="K328" s="441"/>
      <c r="L328" s="114"/>
      <c r="N328" s="114"/>
      <c r="O328" s="114"/>
    </row>
    <row r="329" spans="1:15" s="103" customFormat="1" x14ac:dyDescent="0.25">
      <c r="A329" s="184" t="s">
        <v>421</v>
      </c>
      <c r="B329" s="132" t="s">
        <v>48</v>
      </c>
      <c r="C329" s="331" t="s">
        <v>15</v>
      </c>
      <c r="D329" s="116" t="s">
        <v>334</v>
      </c>
      <c r="E329" s="334"/>
      <c r="F329" s="575">
        <f t="shared" si="49"/>
        <v>0.79999999999999993</v>
      </c>
      <c r="G329" s="441"/>
      <c r="H329" s="460">
        <f t="shared" si="49"/>
        <v>1.4000000000000001</v>
      </c>
      <c r="I329" s="583"/>
      <c r="J329" s="575">
        <f t="shared" si="49"/>
        <v>0.6</v>
      </c>
      <c r="K329" s="441"/>
      <c r="L329" s="114"/>
      <c r="N329" s="114"/>
      <c r="O329" s="114"/>
    </row>
    <row r="330" spans="1:15" s="103" customFormat="1" ht="47.25" x14ac:dyDescent="0.25">
      <c r="A330" s="183" t="s">
        <v>228</v>
      </c>
      <c r="B330" s="132" t="s">
        <v>48</v>
      </c>
      <c r="C330" s="331" t="s">
        <v>15</v>
      </c>
      <c r="D330" s="116" t="s">
        <v>335</v>
      </c>
      <c r="E330" s="334"/>
      <c r="F330" s="575">
        <f>F331</f>
        <v>0.79999999999999993</v>
      </c>
      <c r="G330" s="441"/>
      <c r="H330" s="460">
        <f t="shared" si="49"/>
        <v>1.4000000000000001</v>
      </c>
      <c r="I330" s="583"/>
      <c r="J330" s="575">
        <f t="shared" si="49"/>
        <v>0.6</v>
      </c>
      <c r="K330" s="441"/>
      <c r="L330" s="114"/>
      <c r="N330" s="114"/>
      <c r="O330" s="114"/>
    </row>
    <row r="331" spans="1:15" s="103" customFormat="1" ht="47.25" x14ac:dyDescent="0.25">
      <c r="A331" s="183" t="s">
        <v>317</v>
      </c>
      <c r="B331" s="132" t="s">
        <v>48</v>
      </c>
      <c r="C331" s="331" t="s">
        <v>15</v>
      </c>
      <c r="D331" s="116" t="s">
        <v>336</v>
      </c>
      <c r="E331" s="334"/>
      <c r="F331" s="575">
        <f t="shared" si="49"/>
        <v>0.79999999999999993</v>
      </c>
      <c r="G331" s="441"/>
      <c r="H331" s="460">
        <f t="shared" si="49"/>
        <v>1.4000000000000001</v>
      </c>
      <c r="I331" s="583"/>
      <c r="J331" s="575">
        <f t="shared" si="49"/>
        <v>0.6</v>
      </c>
      <c r="K331" s="441"/>
      <c r="L331" s="114"/>
      <c r="N331" s="114"/>
      <c r="O331" s="114"/>
    </row>
    <row r="332" spans="1:15" s="103" customFormat="1" x14ac:dyDescent="0.25">
      <c r="A332" s="252" t="s">
        <v>118</v>
      </c>
      <c r="B332" s="132" t="s">
        <v>48</v>
      </c>
      <c r="C332" s="331" t="s">
        <v>15</v>
      </c>
      <c r="D332" s="116" t="s">
        <v>336</v>
      </c>
      <c r="E332" s="334">
        <v>200</v>
      </c>
      <c r="F332" s="575">
        <f>'ведом. 2025-2027'!AD244</f>
        <v>0.79999999999999993</v>
      </c>
      <c r="G332" s="441"/>
      <c r="H332" s="460">
        <f>'ведом. 2025-2027'!AE244</f>
        <v>1.4000000000000001</v>
      </c>
      <c r="I332" s="583"/>
      <c r="J332" s="575">
        <f>J333</f>
        <v>0.6</v>
      </c>
      <c r="K332" s="441"/>
      <c r="L332" s="114"/>
      <c r="N332" s="114"/>
      <c r="O332" s="114"/>
    </row>
    <row r="333" spans="1:15" s="103" customFormat="1" ht="31.5" x14ac:dyDescent="0.25">
      <c r="A333" s="252" t="s">
        <v>51</v>
      </c>
      <c r="B333" s="133" t="s">
        <v>48</v>
      </c>
      <c r="C333" s="128" t="s">
        <v>15</v>
      </c>
      <c r="D333" s="116" t="s">
        <v>336</v>
      </c>
      <c r="E333" s="334">
        <v>240</v>
      </c>
      <c r="F333" s="575">
        <f>'ведом. 2025-2027'!AD244</f>
        <v>0.79999999999999993</v>
      </c>
      <c r="G333" s="441"/>
      <c r="H333" s="460">
        <f>'ведом. 2025-2027'!AE244</f>
        <v>1.4000000000000001</v>
      </c>
      <c r="I333" s="583"/>
      <c r="J333" s="575">
        <f>'ведом. 2025-2027'!AF244</f>
        <v>0.6</v>
      </c>
      <c r="K333" s="441"/>
      <c r="L333" s="114"/>
      <c r="N333" s="114"/>
      <c r="O333" s="114"/>
    </row>
    <row r="334" spans="1:15" s="103" customFormat="1" x14ac:dyDescent="0.25">
      <c r="A334" s="252" t="s">
        <v>91</v>
      </c>
      <c r="B334" s="132" t="s">
        <v>48</v>
      </c>
      <c r="C334" s="331" t="s">
        <v>21</v>
      </c>
      <c r="D334" s="201"/>
      <c r="E334" s="334"/>
      <c r="F334" s="575">
        <f>F335+F359</f>
        <v>119753.4</v>
      </c>
      <c r="G334" s="441"/>
      <c r="H334" s="460">
        <f>H335+H359</f>
        <v>94600</v>
      </c>
      <c r="I334" s="583"/>
      <c r="J334" s="575">
        <f>J335+J359</f>
        <v>103953</v>
      </c>
      <c r="K334" s="441"/>
      <c r="L334" s="114"/>
      <c r="N334" s="114"/>
      <c r="O334" s="114"/>
    </row>
    <row r="335" spans="1:15" s="103" customFormat="1" ht="31.5" x14ac:dyDescent="0.25">
      <c r="A335" s="182" t="s">
        <v>224</v>
      </c>
      <c r="B335" s="132" t="s">
        <v>48</v>
      </c>
      <c r="C335" s="331" t="s">
        <v>21</v>
      </c>
      <c r="D335" s="116" t="s">
        <v>225</v>
      </c>
      <c r="E335" s="334"/>
      <c r="F335" s="575">
        <f>F336+F354+F349</f>
        <v>112465.4</v>
      </c>
      <c r="G335" s="441"/>
      <c r="H335" s="460">
        <f>H336+H354+H349</f>
        <v>87020</v>
      </c>
      <c r="I335" s="583"/>
      <c r="J335" s="575">
        <f>J336+J354+J349</f>
        <v>96070</v>
      </c>
      <c r="K335" s="441"/>
      <c r="L335" s="114"/>
      <c r="N335" s="114"/>
      <c r="O335" s="114"/>
    </row>
    <row r="336" spans="1:15" s="103" customFormat="1" x14ac:dyDescent="0.25">
      <c r="A336" s="182" t="s">
        <v>229</v>
      </c>
      <c r="B336" s="132" t="s">
        <v>48</v>
      </c>
      <c r="C336" s="331" t="s">
        <v>21</v>
      </c>
      <c r="D336" s="116" t="s">
        <v>230</v>
      </c>
      <c r="E336" s="334"/>
      <c r="F336" s="575">
        <f>F345+F337+F341</f>
        <v>34033.300000000003</v>
      </c>
      <c r="G336" s="441"/>
      <c r="H336" s="460">
        <f>H345+H337+H341</f>
        <v>42065</v>
      </c>
      <c r="I336" s="583"/>
      <c r="J336" s="575">
        <f>J345+J337+J341</f>
        <v>41464</v>
      </c>
      <c r="K336" s="441"/>
      <c r="L336" s="114"/>
      <c r="N336" s="114"/>
      <c r="O336" s="114"/>
    </row>
    <row r="337" spans="1:15" s="103" customFormat="1" ht="31.5" x14ac:dyDescent="0.25">
      <c r="A337" s="299" t="s">
        <v>863</v>
      </c>
      <c r="B337" s="509" t="s">
        <v>48</v>
      </c>
      <c r="C337" s="297" t="s">
        <v>21</v>
      </c>
      <c r="D337" s="409" t="s">
        <v>862</v>
      </c>
      <c r="E337" s="552"/>
      <c r="F337" s="575">
        <f>F338</f>
        <v>12000</v>
      </c>
      <c r="G337" s="441"/>
      <c r="H337" s="460">
        <f t="shared" ref="H337:J339" si="50">H338</f>
        <v>0</v>
      </c>
      <c r="I337" s="583"/>
      <c r="J337" s="575">
        <f t="shared" si="50"/>
        <v>0</v>
      </c>
      <c r="K337" s="441"/>
      <c r="L337" s="114"/>
      <c r="N337" s="114"/>
      <c r="O337" s="114"/>
    </row>
    <row r="338" spans="1:15" s="103" customFormat="1" ht="31.5" x14ac:dyDescent="0.25">
      <c r="A338" s="299" t="s">
        <v>864</v>
      </c>
      <c r="B338" s="509" t="s">
        <v>48</v>
      </c>
      <c r="C338" s="297" t="s">
        <v>21</v>
      </c>
      <c r="D338" s="409" t="s">
        <v>865</v>
      </c>
      <c r="E338" s="552"/>
      <c r="F338" s="575">
        <f>F339</f>
        <v>12000</v>
      </c>
      <c r="G338" s="441"/>
      <c r="H338" s="460">
        <f t="shared" si="50"/>
        <v>0</v>
      </c>
      <c r="I338" s="583"/>
      <c r="J338" s="575">
        <f t="shared" si="50"/>
        <v>0</v>
      </c>
      <c r="K338" s="441"/>
      <c r="L338" s="114"/>
      <c r="N338" s="114"/>
      <c r="O338" s="114"/>
    </row>
    <row r="339" spans="1:15" s="103" customFormat="1" x14ac:dyDescent="0.25">
      <c r="A339" s="294" t="s">
        <v>118</v>
      </c>
      <c r="B339" s="509" t="s">
        <v>48</v>
      </c>
      <c r="C339" s="297" t="s">
        <v>21</v>
      </c>
      <c r="D339" s="409" t="s">
        <v>865</v>
      </c>
      <c r="E339" s="551">
        <v>200</v>
      </c>
      <c r="F339" s="575">
        <f>F340</f>
        <v>12000</v>
      </c>
      <c r="G339" s="441"/>
      <c r="H339" s="460">
        <f t="shared" si="50"/>
        <v>0</v>
      </c>
      <c r="I339" s="583"/>
      <c r="J339" s="575">
        <f t="shared" si="50"/>
        <v>0</v>
      </c>
      <c r="K339" s="441"/>
      <c r="L339" s="114"/>
      <c r="M339" s="114"/>
      <c r="N339" s="114"/>
      <c r="O339" s="114"/>
    </row>
    <row r="340" spans="1:15" s="103" customFormat="1" ht="31.5" x14ac:dyDescent="0.25">
      <c r="A340" s="294" t="s">
        <v>51</v>
      </c>
      <c r="B340" s="509" t="s">
        <v>48</v>
      </c>
      <c r="C340" s="297" t="s">
        <v>21</v>
      </c>
      <c r="D340" s="409" t="s">
        <v>865</v>
      </c>
      <c r="E340" s="552">
        <v>240</v>
      </c>
      <c r="F340" s="575">
        <f>'ведом. 2025-2027'!AD909</f>
        <v>12000</v>
      </c>
      <c r="G340" s="441"/>
      <c r="H340" s="460">
        <f>'ведом. 2025-2027'!AE909</f>
        <v>0</v>
      </c>
      <c r="I340" s="583"/>
      <c r="J340" s="575">
        <f>'ведом. 2025-2027'!AF909</f>
        <v>0</v>
      </c>
      <c r="K340" s="441"/>
      <c r="L340" s="114"/>
      <c r="N340" s="114"/>
      <c r="O340" s="114"/>
    </row>
    <row r="341" spans="1:15" s="103" customFormat="1" x14ac:dyDescent="0.25">
      <c r="A341" s="294" t="s">
        <v>877</v>
      </c>
      <c r="B341" s="509" t="s">
        <v>48</v>
      </c>
      <c r="C341" s="297" t="s">
        <v>21</v>
      </c>
      <c r="D341" s="409" t="s">
        <v>879</v>
      </c>
      <c r="E341" s="552"/>
      <c r="F341" s="575">
        <f>F342</f>
        <v>0</v>
      </c>
      <c r="G341" s="441"/>
      <c r="H341" s="460">
        <f t="shared" ref="H341:J343" si="51">H342</f>
        <v>2500</v>
      </c>
      <c r="I341" s="583"/>
      <c r="J341" s="575">
        <f t="shared" si="51"/>
        <v>0</v>
      </c>
      <c r="K341" s="441"/>
      <c r="L341" s="114"/>
      <c r="N341" s="114"/>
      <c r="O341" s="114"/>
    </row>
    <row r="342" spans="1:15" s="103" customFormat="1" ht="31.5" x14ac:dyDescent="0.25">
      <c r="A342" s="294" t="s">
        <v>878</v>
      </c>
      <c r="B342" s="509" t="s">
        <v>48</v>
      </c>
      <c r="C342" s="297" t="s">
        <v>21</v>
      </c>
      <c r="D342" s="409" t="s">
        <v>880</v>
      </c>
      <c r="E342" s="552"/>
      <c r="F342" s="575">
        <f>F343</f>
        <v>0</v>
      </c>
      <c r="G342" s="441"/>
      <c r="H342" s="460">
        <f t="shared" si="51"/>
        <v>2500</v>
      </c>
      <c r="I342" s="583"/>
      <c r="J342" s="575">
        <f t="shared" si="51"/>
        <v>0</v>
      </c>
      <c r="K342" s="441"/>
      <c r="L342" s="114"/>
      <c r="N342" s="114"/>
      <c r="O342" s="114"/>
    </row>
    <row r="343" spans="1:15" s="103" customFormat="1" x14ac:dyDescent="0.25">
      <c r="A343" s="294" t="s">
        <v>118</v>
      </c>
      <c r="B343" s="509" t="s">
        <v>48</v>
      </c>
      <c r="C343" s="297" t="s">
        <v>21</v>
      </c>
      <c r="D343" s="409" t="s">
        <v>880</v>
      </c>
      <c r="E343" s="551">
        <v>200</v>
      </c>
      <c r="F343" s="575">
        <f>F344</f>
        <v>0</v>
      </c>
      <c r="G343" s="441"/>
      <c r="H343" s="460">
        <f t="shared" si="51"/>
        <v>2500</v>
      </c>
      <c r="I343" s="583"/>
      <c r="J343" s="575">
        <f t="shared" si="51"/>
        <v>0</v>
      </c>
      <c r="K343" s="441"/>
      <c r="L343" s="114"/>
      <c r="N343" s="114"/>
      <c r="O343" s="114"/>
    </row>
    <row r="344" spans="1:15" s="103" customFormat="1" ht="31.5" x14ac:dyDescent="0.25">
      <c r="A344" s="294" t="s">
        <v>51</v>
      </c>
      <c r="B344" s="509" t="s">
        <v>48</v>
      </c>
      <c r="C344" s="297" t="s">
        <v>21</v>
      </c>
      <c r="D344" s="409" t="s">
        <v>880</v>
      </c>
      <c r="E344" s="552">
        <v>240</v>
      </c>
      <c r="F344" s="575">
        <f>'ведом. 2025-2027'!AD913</f>
        <v>0</v>
      </c>
      <c r="G344" s="441"/>
      <c r="H344" s="460">
        <f>'ведом. 2025-2027'!AE913</f>
        <v>2500</v>
      </c>
      <c r="I344" s="583"/>
      <c r="J344" s="575">
        <f>'ведом. 2025-2027'!AF913</f>
        <v>0</v>
      </c>
      <c r="K344" s="441"/>
      <c r="L344" s="114"/>
      <c r="N344" s="114"/>
      <c r="O344" s="114"/>
    </row>
    <row r="345" spans="1:15" s="103" customFormat="1" ht="31.5" x14ac:dyDescent="0.25">
      <c r="A345" s="294" t="s">
        <v>699</v>
      </c>
      <c r="B345" s="509" t="s">
        <v>48</v>
      </c>
      <c r="C345" s="297" t="s">
        <v>21</v>
      </c>
      <c r="D345" s="409" t="s">
        <v>497</v>
      </c>
      <c r="E345" s="552"/>
      <c r="F345" s="575">
        <f>F346</f>
        <v>22033.3</v>
      </c>
      <c r="G345" s="441"/>
      <c r="H345" s="460">
        <f>H346</f>
        <v>39565</v>
      </c>
      <c r="I345" s="583"/>
      <c r="J345" s="575">
        <f>J346</f>
        <v>41464</v>
      </c>
      <c r="K345" s="441"/>
      <c r="L345" s="114"/>
      <c r="N345" s="114"/>
      <c r="O345" s="114"/>
    </row>
    <row r="346" spans="1:15" s="103" customFormat="1" ht="31.5" x14ac:dyDescent="0.25">
      <c r="A346" s="294" t="s">
        <v>670</v>
      </c>
      <c r="B346" s="509" t="s">
        <v>48</v>
      </c>
      <c r="C346" s="297" t="s">
        <v>21</v>
      </c>
      <c r="D346" s="409" t="s">
        <v>698</v>
      </c>
      <c r="E346" s="552"/>
      <c r="F346" s="575">
        <f>F347</f>
        <v>22033.3</v>
      </c>
      <c r="G346" s="441"/>
      <c r="H346" s="460">
        <f>H347</f>
        <v>39565</v>
      </c>
      <c r="I346" s="583"/>
      <c r="J346" s="575">
        <f>J347</f>
        <v>41464</v>
      </c>
      <c r="K346" s="441"/>
      <c r="L346" s="114"/>
      <c r="N346" s="114"/>
      <c r="O346" s="114"/>
    </row>
    <row r="347" spans="1:15" s="103" customFormat="1" x14ac:dyDescent="0.25">
      <c r="A347" s="294" t="s">
        <v>118</v>
      </c>
      <c r="B347" s="536" t="s">
        <v>48</v>
      </c>
      <c r="C347" s="314" t="s">
        <v>21</v>
      </c>
      <c r="D347" s="409" t="s">
        <v>698</v>
      </c>
      <c r="E347" s="552">
        <v>200</v>
      </c>
      <c r="F347" s="575">
        <f>F348</f>
        <v>22033.3</v>
      </c>
      <c r="G347" s="441"/>
      <c r="H347" s="460">
        <f>H348</f>
        <v>39565</v>
      </c>
      <c r="I347" s="583"/>
      <c r="J347" s="575">
        <f>J348</f>
        <v>41464</v>
      </c>
      <c r="K347" s="441"/>
      <c r="L347" s="114"/>
      <c r="N347" s="114"/>
      <c r="O347" s="114"/>
    </row>
    <row r="348" spans="1:15" s="103" customFormat="1" ht="31.5" x14ac:dyDescent="0.25">
      <c r="A348" s="294" t="s">
        <v>51</v>
      </c>
      <c r="B348" s="536" t="s">
        <v>48</v>
      </c>
      <c r="C348" s="314" t="s">
        <v>21</v>
      </c>
      <c r="D348" s="409" t="s">
        <v>698</v>
      </c>
      <c r="E348" s="552">
        <v>240</v>
      </c>
      <c r="F348" s="575">
        <f>'ведом. 2025-2027'!AD917</f>
        <v>22033.3</v>
      </c>
      <c r="G348" s="441"/>
      <c r="H348" s="460">
        <f>'ведом. 2025-2027'!AE917</f>
        <v>39565</v>
      </c>
      <c r="I348" s="583"/>
      <c r="J348" s="575">
        <f>'ведом. 2025-2027'!AF917</f>
        <v>41464</v>
      </c>
      <c r="K348" s="441"/>
      <c r="L348" s="114"/>
      <c r="N348" s="114"/>
      <c r="O348" s="114"/>
    </row>
    <row r="349" spans="1:15" s="103" customFormat="1" x14ac:dyDescent="0.25">
      <c r="A349" s="307" t="s">
        <v>694</v>
      </c>
      <c r="B349" s="536" t="s">
        <v>48</v>
      </c>
      <c r="C349" s="314" t="s">
        <v>21</v>
      </c>
      <c r="D349" s="409" t="s">
        <v>693</v>
      </c>
      <c r="E349" s="552"/>
      <c r="F349" s="575">
        <f>F350</f>
        <v>26286</v>
      </c>
      <c r="G349" s="441"/>
      <c r="H349" s="460">
        <f t="shared" ref="H349:J352" si="52">H350</f>
        <v>8590</v>
      </c>
      <c r="I349" s="583"/>
      <c r="J349" s="575">
        <f t="shared" si="52"/>
        <v>16750</v>
      </c>
      <c r="K349" s="441"/>
      <c r="L349" s="114"/>
      <c r="N349" s="114"/>
      <c r="O349" s="114"/>
    </row>
    <row r="350" spans="1:15" s="103" customFormat="1" x14ac:dyDescent="0.25">
      <c r="A350" s="294" t="s">
        <v>695</v>
      </c>
      <c r="B350" s="536" t="s">
        <v>48</v>
      </c>
      <c r="C350" s="314" t="s">
        <v>21</v>
      </c>
      <c r="D350" s="409" t="s">
        <v>696</v>
      </c>
      <c r="E350" s="552"/>
      <c r="F350" s="575">
        <f>F351</f>
        <v>26286</v>
      </c>
      <c r="G350" s="441"/>
      <c r="H350" s="460">
        <f t="shared" si="52"/>
        <v>8590</v>
      </c>
      <c r="I350" s="583"/>
      <c r="J350" s="575">
        <f t="shared" si="52"/>
        <v>16750</v>
      </c>
      <c r="K350" s="441"/>
      <c r="L350" s="114"/>
      <c r="N350" s="114"/>
      <c r="O350" s="114"/>
    </row>
    <row r="351" spans="1:15" s="103" customFormat="1" x14ac:dyDescent="0.25">
      <c r="A351" s="294" t="s">
        <v>340</v>
      </c>
      <c r="B351" s="536" t="s">
        <v>48</v>
      </c>
      <c r="C351" s="314" t="s">
        <v>21</v>
      </c>
      <c r="D351" s="409" t="s">
        <v>697</v>
      </c>
      <c r="E351" s="552"/>
      <c r="F351" s="575">
        <f>F352</f>
        <v>26286</v>
      </c>
      <c r="G351" s="441"/>
      <c r="H351" s="460">
        <f t="shared" si="52"/>
        <v>8590</v>
      </c>
      <c r="I351" s="583"/>
      <c r="J351" s="575">
        <f t="shared" si="52"/>
        <v>16750</v>
      </c>
      <c r="K351" s="441"/>
      <c r="L351" s="114"/>
      <c r="N351" s="114"/>
      <c r="O351" s="114"/>
    </row>
    <row r="352" spans="1:15" s="103" customFormat="1" x14ac:dyDescent="0.25">
      <c r="A352" s="294" t="s">
        <v>118</v>
      </c>
      <c r="B352" s="536" t="s">
        <v>48</v>
      </c>
      <c r="C352" s="314" t="s">
        <v>21</v>
      </c>
      <c r="D352" s="409" t="s">
        <v>697</v>
      </c>
      <c r="E352" s="552">
        <v>200</v>
      </c>
      <c r="F352" s="575">
        <f>F353</f>
        <v>26286</v>
      </c>
      <c r="G352" s="441"/>
      <c r="H352" s="460">
        <f t="shared" si="52"/>
        <v>8590</v>
      </c>
      <c r="I352" s="583"/>
      <c r="J352" s="575">
        <f t="shared" si="52"/>
        <v>16750</v>
      </c>
      <c r="K352" s="441"/>
      <c r="L352" s="114"/>
      <c r="N352" s="114"/>
      <c r="O352" s="114"/>
    </row>
    <row r="353" spans="1:15" s="103" customFormat="1" ht="31.5" x14ac:dyDescent="0.25">
      <c r="A353" s="294" t="s">
        <v>51</v>
      </c>
      <c r="B353" s="536" t="s">
        <v>48</v>
      </c>
      <c r="C353" s="314" t="s">
        <v>21</v>
      </c>
      <c r="D353" s="409" t="s">
        <v>697</v>
      </c>
      <c r="E353" s="552">
        <v>240</v>
      </c>
      <c r="F353" s="575">
        <f>'ведом. 2025-2027'!AD922</f>
        <v>26286</v>
      </c>
      <c r="G353" s="441"/>
      <c r="H353" s="460">
        <f>'ведом. 2025-2027'!AE922</f>
        <v>8590</v>
      </c>
      <c r="I353" s="583"/>
      <c r="J353" s="575">
        <f>'ведом. 2025-2027'!AF922</f>
        <v>16750</v>
      </c>
      <c r="K353" s="441"/>
      <c r="L353" s="114"/>
      <c r="N353" s="114"/>
      <c r="O353" s="114"/>
    </row>
    <row r="354" spans="1:15" s="103" customFormat="1" x14ac:dyDescent="0.25">
      <c r="A354" s="182" t="s">
        <v>47</v>
      </c>
      <c r="B354" s="134" t="s">
        <v>48</v>
      </c>
      <c r="C354" s="127" t="s">
        <v>21</v>
      </c>
      <c r="D354" s="116" t="s">
        <v>337</v>
      </c>
      <c r="E354" s="205"/>
      <c r="F354" s="575">
        <f>F355</f>
        <v>52146.1</v>
      </c>
      <c r="G354" s="441"/>
      <c r="H354" s="460">
        <f>H355</f>
        <v>36365</v>
      </c>
      <c r="I354" s="583"/>
      <c r="J354" s="575">
        <f>J355</f>
        <v>37856</v>
      </c>
      <c r="K354" s="441"/>
      <c r="L354" s="114"/>
      <c r="N354" s="114"/>
      <c r="O354" s="114"/>
    </row>
    <row r="355" spans="1:15" s="103" customFormat="1" ht="31.5" x14ac:dyDescent="0.25">
      <c r="A355" s="182" t="s">
        <v>189</v>
      </c>
      <c r="B355" s="134" t="s">
        <v>48</v>
      </c>
      <c r="C355" s="127" t="s">
        <v>21</v>
      </c>
      <c r="D355" s="116" t="s">
        <v>338</v>
      </c>
      <c r="E355" s="334"/>
      <c r="F355" s="575">
        <f>F356</f>
        <v>52146.1</v>
      </c>
      <c r="G355" s="441"/>
      <c r="H355" s="460">
        <f>H356</f>
        <v>36365</v>
      </c>
      <c r="I355" s="583"/>
      <c r="J355" s="575">
        <f>J356</f>
        <v>37856</v>
      </c>
      <c r="K355" s="441"/>
      <c r="L355" s="114"/>
      <c r="N355" s="114"/>
      <c r="O355" s="114"/>
    </row>
    <row r="356" spans="1:15" s="103" customFormat="1" ht="31.5" x14ac:dyDescent="0.25">
      <c r="A356" s="307" t="s">
        <v>691</v>
      </c>
      <c r="B356" s="134" t="s">
        <v>48</v>
      </c>
      <c r="C356" s="127" t="s">
        <v>21</v>
      </c>
      <c r="D356" s="409" t="s">
        <v>690</v>
      </c>
      <c r="E356" s="334"/>
      <c r="F356" s="575">
        <f>F357</f>
        <v>52146.1</v>
      </c>
      <c r="G356" s="441"/>
      <c r="H356" s="460">
        <f>H357</f>
        <v>36365</v>
      </c>
      <c r="I356" s="583"/>
      <c r="J356" s="575">
        <f>J357</f>
        <v>37856</v>
      </c>
      <c r="K356" s="441"/>
      <c r="L356" s="114"/>
      <c r="N356" s="114"/>
      <c r="O356" s="114"/>
    </row>
    <row r="357" spans="1:15" s="103" customFormat="1" ht="31.5" x14ac:dyDescent="0.25">
      <c r="A357" s="252" t="s">
        <v>59</v>
      </c>
      <c r="B357" s="134" t="s">
        <v>48</v>
      </c>
      <c r="C357" s="127" t="s">
        <v>21</v>
      </c>
      <c r="D357" s="409" t="s">
        <v>690</v>
      </c>
      <c r="E357" s="334">
        <v>600</v>
      </c>
      <c r="F357" s="575">
        <f>F358</f>
        <v>52146.1</v>
      </c>
      <c r="G357" s="441"/>
      <c r="H357" s="460">
        <f>H358</f>
        <v>36365</v>
      </c>
      <c r="I357" s="583"/>
      <c r="J357" s="575">
        <f>J358</f>
        <v>37856</v>
      </c>
      <c r="K357" s="441"/>
      <c r="L357" s="114"/>
      <c r="N357" s="114"/>
      <c r="O357" s="114"/>
    </row>
    <row r="358" spans="1:15" s="103" customFormat="1" x14ac:dyDescent="0.25">
      <c r="A358" s="252" t="s">
        <v>60</v>
      </c>
      <c r="B358" s="134" t="s">
        <v>48</v>
      </c>
      <c r="C358" s="127" t="s">
        <v>21</v>
      </c>
      <c r="D358" s="409" t="s">
        <v>690</v>
      </c>
      <c r="E358" s="334">
        <v>610</v>
      </c>
      <c r="F358" s="575">
        <f>'ведом. 2025-2027'!AD251</f>
        <v>52146.1</v>
      </c>
      <c r="G358" s="441"/>
      <c r="H358" s="460">
        <f>'ведом. 2025-2027'!AE251</f>
        <v>36365</v>
      </c>
      <c r="I358" s="583"/>
      <c r="J358" s="575">
        <f>'ведом. 2025-2027'!AF251</f>
        <v>37856</v>
      </c>
      <c r="K358" s="441"/>
      <c r="L358" s="114"/>
      <c r="N358" s="114"/>
      <c r="O358" s="114"/>
    </row>
    <row r="359" spans="1:15" s="103" customFormat="1" x14ac:dyDescent="0.25">
      <c r="A359" s="185" t="s">
        <v>240</v>
      </c>
      <c r="B359" s="134" t="s">
        <v>48</v>
      </c>
      <c r="C359" s="127" t="s">
        <v>21</v>
      </c>
      <c r="D359" s="116" t="s">
        <v>241</v>
      </c>
      <c r="E359" s="334"/>
      <c r="F359" s="575">
        <f>F360</f>
        <v>7288</v>
      </c>
      <c r="G359" s="441"/>
      <c r="H359" s="460">
        <f>H360</f>
        <v>7580</v>
      </c>
      <c r="I359" s="583"/>
      <c r="J359" s="575">
        <f>J360</f>
        <v>7883</v>
      </c>
      <c r="K359" s="441"/>
      <c r="L359" s="114"/>
      <c r="N359" s="114"/>
      <c r="O359" s="114"/>
    </row>
    <row r="360" spans="1:15" s="103" customFormat="1" ht="31.5" x14ac:dyDescent="0.25">
      <c r="A360" s="185" t="s">
        <v>535</v>
      </c>
      <c r="B360" s="134" t="s">
        <v>48</v>
      </c>
      <c r="C360" s="127" t="s">
        <v>21</v>
      </c>
      <c r="D360" s="116" t="s">
        <v>242</v>
      </c>
      <c r="E360" s="207"/>
      <c r="F360" s="575">
        <f>F361</f>
        <v>7288</v>
      </c>
      <c r="G360" s="441"/>
      <c r="H360" s="460">
        <f t="shared" ref="H360:J361" si="53">H361</f>
        <v>7580</v>
      </c>
      <c r="I360" s="583"/>
      <c r="J360" s="575">
        <f t="shared" si="53"/>
        <v>7883</v>
      </c>
      <c r="K360" s="441"/>
      <c r="L360" s="114"/>
      <c r="N360" s="114"/>
      <c r="O360" s="114"/>
    </row>
    <row r="361" spans="1:15" s="103" customFormat="1" ht="31.5" x14ac:dyDescent="0.25">
      <c r="A361" s="184" t="s">
        <v>536</v>
      </c>
      <c r="B361" s="134" t="s">
        <v>48</v>
      </c>
      <c r="C361" s="127" t="s">
        <v>21</v>
      </c>
      <c r="D361" s="409" t="s">
        <v>243</v>
      </c>
      <c r="E361" s="552"/>
      <c r="F361" s="575">
        <f>F362</f>
        <v>7288</v>
      </c>
      <c r="G361" s="441"/>
      <c r="H361" s="460">
        <f t="shared" si="53"/>
        <v>7580</v>
      </c>
      <c r="I361" s="583"/>
      <c r="J361" s="575">
        <f t="shared" si="53"/>
        <v>7883</v>
      </c>
      <c r="K361" s="441"/>
      <c r="L361" s="114"/>
      <c r="N361" s="114"/>
      <c r="O361" s="114"/>
    </row>
    <row r="362" spans="1:15" s="103" customFormat="1" x14ac:dyDescent="0.25">
      <c r="A362" s="255" t="s">
        <v>436</v>
      </c>
      <c r="B362" s="134" t="s">
        <v>48</v>
      </c>
      <c r="C362" s="127" t="s">
        <v>21</v>
      </c>
      <c r="D362" s="409" t="s">
        <v>692</v>
      </c>
      <c r="E362" s="555"/>
      <c r="F362" s="575">
        <f>F363</f>
        <v>7288</v>
      </c>
      <c r="G362" s="441"/>
      <c r="H362" s="460">
        <f>H363</f>
        <v>7580</v>
      </c>
      <c r="I362" s="583"/>
      <c r="J362" s="575">
        <f>J363</f>
        <v>7883</v>
      </c>
      <c r="K362" s="441"/>
      <c r="L362" s="114"/>
      <c r="N362" s="114"/>
      <c r="O362" s="114"/>
    </row>
    <row r="363" spans="1:15" s="103" customFormat="1" x14ac:dyDescent="0.25">
      <c r="A363" s="255" t="s">
        <v>118</v>
      </c>
      <c r="B363" s="134" t="s">
        <v>48</v>
      </c>
      <c r="C363" s="127" t="s">
        <v>21</v>
      </c>
      <c r="D363" s="409" t="s">
        <v>692</v>
      </c>
      <c r="E363" s="555" t="s">
        <v>36</v>
      </c>
      <c r="F363" s="575">
        <f>F364</f>
        <v>7288</v>
      </c>
      <c r="G363" s="441"/>
      <c r="H363" s="460">
        <f>H364</f>
        <v>7580</v>
      </c>
      <c r="I363" s="583"/>
      <c r="J363" s="575">
        <f>J364</f>
        <v>7883</v>
      </c>
      <c r="K363" s="441"/>
      <c r="L363" s="114"/>
      <c r="N363" s="114"/>
      <c r="O363" s="114"/>
    </row>
    <row r="364" spans="1:15" s="103" customFormat="1" ht="31.5" x14ac:dyDescent="0.25">
      <c r="A364" s="255" t="s">
        <v>51</v>
      </c>
      <c r="B364" s="134" t="s">
        <v>48</v>
      </c>
      <c r="C364" s="127" t="s">
        <v>21</v>
      </c>
      <c r="D364" s="409" t="s">
        <v>692</v>
      </c>
      <c r="E364" s="555" t="s">
        <v>64</v>
      </c>
      <c r="F364" s="575">
        <f>'ведом. 2025-2027'!AD928</f>
        <v>7288</v>
      </c>
      <c r="G364" s="441"/>
      <c r="H364" s="460">
        <f>'ведом. 2025-2027'!AE928</f>
        <v>7580</v>
      </c>
      <c r="I364" s="583"/>
      <c r="J364" s="575">
        <f>'ведом. 2025-2027'!AF928</f>
        <v>7883</v>
      </c>
      <c r="K364" s="441"/>
      <c r="L364" s="114"/>
      <c r="N364" s="114"/>
      <c r="O364" s="114"/>
    </row>
    <row r="365" spans="1:15" s="103" customFormat="1" x14ac:dyDescent="0.25">
      <c r="A365" s="257" t="s">
        <v>31</v>
      </c>
      <c r="B365" s="132" t="s">
        <v>48</v>
      </c>
      <c r="C365" s="331">
        <v>10</v>
      </c>
      <c r="D365" s="201"/>
      <c r="E365" s="334"/>
      <c r="F365" s="575">
        <f>F366</f>
        <v>3822</v>
      </c>
      <c r="G365" s="441"/>
      <c r="H365" s="460">
        <f>H366</f>
        <v>3003</v>
      </c>
      <c r="I365" s="583"/>
      <c r="J365" s="575">
        <f>J366</f>
        <v>0</v>
      </c>
      <c r="K365" s="441"/>
      <c r="L365" s="114"/>
      <c r="N365" s="114"/>
      <c r="O365" s="114"/>
    </row>
    <row r="366" spans="1:15" s="103" customFormat="1" x14ac:dyDescent="0.25">
      <c r="A366" s="182" t="s">
        <v>231</v>
      </c>
      <c r="B366" s="9" t="s">
        <v>48</v>
      </c>
      <c r="C366" s="131">
        <v>10</v>
      </c>
      <c r="D366" s="116" t="s">
        <v>232</v>
      </c>
      <c r="E366" s="334"/>
      <c r="F366" s="575">
        <f>F367</f>
        <v>3822</v>
      </c>
      <c r="G366" s="441"/>
      <c r="H366" s="460">
        <f>H367</f>
        <v>3003</v>
      </c>
      <c r="I366" s="583"/>
      <c r="J366" s="575">
        <f>J367</f>
        <v>0</v>
      </c>
      <c r="K366" s="441"/>
      <c r="L366" s="114"/>
      <c r="N366" s="114"/>
      <c r="O366" s="114"/>
    </row>
    <row r="367" spans="1:15" s="103" customFormat="1" ht="31.5" x14ac:dyDescent="0.25">
      <c r="A367" s="182" t="s">
        <v>234</v>
      </c>
      <c r="B367" s="9" t="s">
        <v>48</v>
      </c>
      <c r="C367" s="131">
        <v>10</v>
      </c>
      <c r="D367" s="116" t="s">
        <v>235</v>
      </c>
      <c r="E367" s="561"/>
      <c r="F367" s="575">
        <f>F368+F376+F372</f>
        <v>3822</v>
      </c>
      <c r="G367" s="441"/>
      <c r="H367" s="460">
        <f>H368+H376+H372</f>
        <v>3003</v>
      </c>
      <c r="I367" s="583"/>
      <c r="J367" s="575">
        <f>J368+J376+J372</f>
        <v>0</v>
      </c>
      <c r="K367" s="441"/>
      <c r="L367" s="114"/>
      <c r="N367" s="114"/>
      <c r="O367" s="114"/>
    </row>
    <row r="368" spans="1:15" s="103" customFormat="1" x14ac:dyDescent="0.25">
      <c r="A368" s="185" t="s">
        <v>367</v>
      </c>
      <c r="B368" s="9" t="s">
        <v>48</v>
      </c>
      <c r="C368" s="131">
        <v>10</v>
      </c>
      <c r="D368" s="116" t="s">
        <v>368</v>
      </c>
      <c r="E368" s="561"/>
      <c r="F368" s="575">
        <f>F369</f>
        <v>3172</v>
      </c>
      <c r="G368" s="441"/>
      <c r="H368" s="460">
        <f>H369</f>
        <v>2593</v>
      </c>
      <c r="I368" s="583"/>
      <c r="J368" s="575">
        <f>J369</f>
        <v>0</v>
      </c>
      <c r="K368" s="441"/>
      <c r="L368" s="114"/>
      <c r="N368" s="114"/>
      <c r="O368" s="114"/>
    </row>
    <row r="369" spans="1:15" s="103" customFormat="1" x14ac:dyDescent="0.25">
      <c r="A369" s="184" t="s">
        <v>369</v>
      </c>
      <c r="B369" s="9" t="s">
        <v>48</v>
      </c>
      <c r="C369" s="131">
        <v>10</v>
      </c>
      <c r="D369" s="116" t="s">
        <v>370</v>
      </c>
      <c r="E369" s="562"/>
      <c r="F369" s="575">
        <f>F370</f>
        <v>3172</v>
      </c>
      <c r="G369" s="441"/>
      <c r="H369" s="460">
        <f>H370</f>
        <v>2593</v>
      </c>
      <c r="I369" s="583"/>
      <c r="J369" s="575">
        <f>J370</f>
        <v>0</v>
      </c>
      <c r="K369" s="441"/>
      <c r="L369" s="114"/>
      <c r="N369" s="114"/>
      <c r="O369" s="114"/>
    </row>
    <row r="370" spans="1:15" s="103" customFormat="1" x14ac:dyDescent="0.25">
      <c r="A370" s="255" t="s">
        <v>118</v>
      </c>
      <c r="B370" s="9" t="s">
        <v>48</v>
      </c>
      <c r="C370" s="131">
        <v>10</v>
      </c>
      <c r="D370" s="116" t="s">
        <v>370</v>
      </c>
      <c r="E370" s="334">
        <v>200</v>
      </c>
      <c r="F370" s="575">
        <f>F371</f>
        <v>3172</v>
      </c>
      <c r="G370" s="441"/>
      <c r="H370" s="460">
        <f>H371</f>
        <v>2593</v>
      </c>
      <c r="I370" s="583"/>
      <c r="J370" s="575">
        <f>J371</f>
        <v>0</v>
      </c>
      <c r="K370" s="441"/>
      <c r="L370" s="114"/>
      <c r="N370" s="114"/>
      <c r="O370" s="114"/>
    </row>
    <row r="371" spans="1:15" s="103" customFormat="1" ht="31.5" x14ac:dyDescent="0.25">
      <c r="A371" s="255" t="s">
        <v>51</v>
      </c>
      <c r="B371" s="9" t="s">
        <v>48</v>
      </c>
      <c r="C371" s="131">
        <v>10</v>
      </c>
      <c r="D371" s="116" t="s">
        <v>370</v>
      </c>
      <c r="E371" s="334">
        <v>240</v>
      </c>
      <c r="F371" s="575">
        <f>'ведом. 2025-2027'!AD258</f>
        <v>3172</v>
      </c>
      <c r="G371" s="441"/>
      <c r="H371" s="460">
        <f>'ведом. 2025-2027'!AE258</f>
        <v>2593</v>
      </c>
      <c r="I371" s="583"/>
      <c r="J371" s="575">
        <f>'ведом. 2025-2027'!AF258</f>
        <v>0</v>
      </c>
      <c r="K371" s="441"/>
      <c r="L371" s="114"/>
      <c r="N371" s="114"/>
      <c r="O371" s="114"/>
    </row>
    <row r="372" spans="1:15" s="103" customFormat="1" x14ac:dyDescent="0.25">
      <c r="A372" s="185" t="s">
        <v>385</v>
      </c>
      <c r="B372" s="9" t="s">
        <v>48</v>
      </c>
      <c r="C372" s="131">
        <v>10</v>
      </c>
      <c r="D372" s="116" t="s">
        <v>386</v>
      </c>
      <c r="E372" s="334"/>
      <c r="F372" s="575">
        <f>F373</f>
        <v>350</v>
      </c>
      <c r="G372" s="441"/>
      <c r="H372" s="460">
        <f>H373</f>
        <v>110</v>
      </c>
      <c r="I372" s="583"/>
      <c r="J372" s="575">
        <f>J373</f>
        <v>0</v>
      </c>
      <c r="K372" s="441"/>
      <c r="L372" s="114"/>
      <c r="N372" s="114"/>
      <c r="O372" s="114"/>
    </row>
    <row r="373" spans="1:15" s="103" customFormat="1" x14ac:dyDescent="0.25">
      <c r="A373" s="184" t="s">
        <v>387</v>
      </c>
      <c r="B373" s="9" t="s">
        <v>48</v>
      </c>
      <c r="C373" s="131">
        <v>10</v>
      </c>
      <c r="D373" s="116" t="s">
        <v>388</v>
      </c>
      <c r="E373" s="334"/>
      <c r="F373" s="575">
        <f>F374</f>
        <v>350</v>
      </c>
      <c r="G373" s="441"/>
      <c r="H373" s="460">
        <f>H374</f>
        <v>110</v>
      </c>
      <c r="I373" s="583"/>
      <c r="J373" s="575">
        <f>J374</f>
        <v>0</v>
      </c>
      <c r="K373" s="441"/>
      <c r="L373" s="114"/>
      <c r="N373" s="114"/>
      <c r="O373" s="114"/>
    </row>
    <row r="374" spans="1:15" s="103" customFormat="1" x14ac:dyDescent="0.25">
      <c r="A374" s="255" t="s">
        <v>118</v>
      </c>
      <c r="B374" s="9" t="s">
        <v>48</v>
      </c>
      <c r="C374" s="131">
        <v>10</v>
      </c>
      <c r="D374" s="116" t="s">
        <v>388</v>
      </c>
      <c r="E374" s="334">
        <v>200</v>
      </c>
      <c r="F374" s="575">
        <f>F375</f>
        <v>350</v>
      </c>
      <c r="G374" s="441"/>
      <c r="H374" s="460">
        <f>H375</f>
        <v>110</v>
      </c>
      <c r="I374" s="583"/>
      <c r="J374" s="575">
        <f>J375</f>
        <v>0</v>
      </c>
      <c r="K374" s="441"/>
      <c r="L374" s="114"/>
      <c r="N374" s="114"/>
      <c r="O374" s="114"/>
    </row>
    <row r="375" spans="1:15" s="103" customFormat="1" ht="31.5" x14ac:dyDescent="0.25">
      <c r="A375" s="255" t="s">
        <v>51</v>
      </c>
      <c r="B375" s="9" t="s">
        <v>48</v>
      </c>
      <c r="C375" s="131">
        <v>10</v>
      </c>
      <c r="D375" s="116" t="s">
        <v>388</v>
      </c>
      <c r="E375" s="334">
        <v>240</v>
      </c>
      <c r="F375" s="575">
        <f>'ведом. 2025-2027'!AD262</f>
        <v>350</v>
      </c>
      <c r="G375" s="441"/>
      <c r="H375" s="460">
        <f>'ведом. 2025-2027'!AE262</f>
        <v>110</v>
      </c>
      <c r="I375" s="583"/>
      <c r="J375" s="575">
        <f>'ведом. 2025-2027'!AF262</f>
        <v>0</v>
      </c>
      <c r="K375" s="441"/>
      <c r="L375" s="114"/>
      <c r="N375" s="114"/>
      <c r="O375" s="114"/>
    </row>
    <row r="376" spans="1:15" s="103" customFormat="1" x14ac:dyDescent="0.25">
      <c r="A376" s="185" t="s">
        <v>371</v>
      </c>
      <c r="B376" s="9" t="s">
        <v>48</v>
      </c>
      <c r="C376" s="131">
        <v>10</v>
      </c>
      <c r="D376" s="116" t="s">
        <v>372</v>
      </c>
      <c r="E376" s="334"/>
      <c r="F376" s="575">
        <f>F377</f>
        <v>300</v>
      </c>
      <c r="G376" s="441"/>
      <c r="H376" s="460">
        <f>H377</f>
        <v>300</v>
      </c>
      <c r="I376" s="583"/>
      <c r="J376" s="575">
        <f>J377</f>
        <v>0</v>
      </c>
      <c r="K376" s="441"/>
      <c r="L376" s="114"/>
      <c r="N376" s="114"/>
      <c r="O376" s="114"/>
    </row>
    <row r="377" spans="1:15" s="103" customFormat="1" x14ac:dyDescent="0.25">
      <c r="A377" s="184" t="s">
        <v>373</v>
      </c>
      <c r="B377" s="9" t="s">
        <v>48</v>
      </c>
      <c r="C377" s="131">
        <v>10</v>
      </c>
      <c r="D377" s="116" t="s">
        <v>374</v>
      </c>
      <c r="E377" s="334"/>
      <c r="F377" s="575">
        <f>F378</f>
        <v>300</v>
      </c>
      <c r="G377" s="441"/>
      <c r="H377" s="460">
        <f>H378</f>
        <v>300</v>
      </c>
      <c r="I377" s="583"/>
      <c r="J377" s="575">
        <f>J378</f>
        <v>0</v>
      </c>
      <c r="K377" s="441"/>
      <c r="L377" s="114"/>
      <c r="N377" s="114"/>
      <c r="O377" s="114"/>
    </row>
    <row r="378" spans="1:15" s="103" customFormat="1" x14ac:dyDescent="0.25">
      <c r="A378" s="255" t="s">
        <v>118</v>
      </c>
      <c r="B378" s="9" t="s">
        <v>48</v>
      </c>
      <c r="C378" s="131">
        <v>10</v>
      </c>
      <c r="D378" s="116" t="s">
        <v>374</v>
      </c>
      <c r="E378" s="334">
        <v>200</v>
      </c>
      <c r="F378" s="575">
        <f>F379</f>
        <v>300</v>
      </c>
      <c r="G378" s="441"/>
      <c r="H378" s="460">
        <f>H379</f>
        <v>300</v>
      </c>
      <c r="I378" s="583"/>
      <c r="J378" s="575">
        <f>J379</f>
        <v>0</v>
      </c>
      <c r="K378" s="441"/>
      <c r="L378" s="114"/>
      <c r="N378" s="114"/>
      <c r="O378" s="114"/>
    </row>
    <row r="379" spans="1:15" s="103" customFormat="1" ht="31.5" x14ac:dyDescent="0.25">
      <c r="A379" s="255" t="s">
        <v>51</v>
      </c>
      <c r="B379" s="9" t="s">
        <v>48</v>
      </c>
      <c r="C379" s="131">
        <v>10</v>
      </c>
      <c r="D379" s="116" t="s">
        <v>374</v>
      </c>
      <c r="E379" s="334">
        <v>240</v>
      </c>
      <c r="F379" s="575">
        <f>'ведом. 2025-2027'!AD266</f>
        <v>300</v>
      </c>
      <c r="G379" s="441"/>
      <c r="H379" s="460">
        <f>'ведом. 2025-2027'!AE266</f>
        <v>300</v>
      </c>
      <c r="I379" s="583"/>
      <c r="J379" s="575">
        <f>'ведом. 2025-2027'!AF266</f>
        <v>0</v>
      </c>
      <c r="K379" s="441"/>
      <c r="L379" s="114"/>
      <c r="N379" s="114"/>
      <c r="O379" s="114"/>
    </row>
    <row r="380" spans="1:15" s="103" customFormat="1" x14ac:dyDescent="0.25">
      <c r="A380" s="252" t="s">
        <v>50</v>
      </c>
      <c r="B380" s="132" t="s">
        <v>48</v>
      </c>
      <c r="C380" s="331">
        <v>12</v>
      </c>
      <c r="D380" s="21"/>
      <c r="E380" s="205"/>
      <c r="F380" s="575">
        <f t="shared" ref="F380:K380" si="54">F381+F390</f>
        <v>1484.7</v>
      </c>
      <c r="G380" s="441">
        <f t="shared" si="54"/>
        <v>377</v>
      </c>
      <c r="H380" s="460">
        <f t="shared" si="54"/>
        <v>377</v>
      </c>
      <c r="I380" s="583">
        <f t="shared" si="54"/>
        <v>377</v>
      </c>
      <c r="J380" s="575">
        <f t="shared" si="54"/>
        <v>377</v>
      </c>
      <c r="K380" s="441">
        <f t="shared" si="54"/>
        <v>377</v>
      </c>
      <c r="L380" s="114"/>
      <c r="N380" s="114"/>
      <c r="O380" s="114"/>
    </row>
    <row r="381" spans="1:15" s="103" customFormat="1" ht="31.5" x14ac:dyDescent="0.25">
      <c r="A381" s="182" t="s">
        <v>159</v>
      </c>
      <c r="B381" s="132" t="s">
        <v>48</v>
      </c>
      <c r="C381" s="331">
        <v>12</v>
      </c>
      <c r="D381" s="21" t="s">
        <v>100</v>
      </c>
      <c r="E381" s="334"/>
      <c r="F381" s="575">
        <f t="shared" ref="F381:K382" si="55">F382</f>
        <v>984.7</v>
      </c>
      <c r="G381" s="441">
        <f t="shared" si="55"/>
        <v>377</v>
      </c>
      <c r="H381" s="460">
        <f t="shared" si="55"/>
        <v>377</v>
      </c>
      <c r="I381" s="583">
        <f t="shared" si="55"/>
        <v>377</v>
      </c>
      <c r="J381" s="575">
        <f t="shared" si="55"/>
        <v>377</v>
      </c>
      <c r="K381" s="441">
        <f t="shared" si="55"/>
        <v>377</v>
      </c>
      <c r="L381" s="114"/>
      <c r="N381" s="114"/>
      <c r="O381" s="114"/>
    </row>
    <row r="382" spans="1:15" s="103" customFormat="1" x14ac:dyDescent="0.25">
      <c r="A382" s="182" t="s">
        <v>160</v>
      </c>
      <c r="B382" s="132" t="s">
        <v>48</v>
      </c>
      <c r="C382" s="331">
        <v>12</v>
      </c>
      <c r="D382" s="21" t="s">
        <v>104</v>
      </c>
      <c r="E382" s="334"/>
      <c r="F382" s="575">
        <f t="shared" si="55"/>
        <v>984.7</v>
      </c>
      <c r="G382" s="441">
        <f t="shared" si="55"/>
        <v>377</v>
      </c>
      <c r="H382" s="460">
        <f t="shared" si="55"/>
        <v>377</v>
      </c>
      <c r="I382" s="583">
        <f t="shared" si="55"/>
        <v>377</v>
      </c>
      <c r="J382" s="575">
        <f t="shared" si="55"/>
        <v>377</v>
      </c>
      <c r="K382" s="441">
        <f t="shared" si="55"/>
        <v>377</v>
      </c>
      <c r="L382" s="114"/>
      <c r="N382" s="114"/>
      <c r="O382" s="114"/>
    </row>
    <row r="383" spans="1:15" s="103" customFormat="1" x14ac:dyDescent="0.25">
      <c r="A383" s="197" t="s">
        <v>523</v>
      </c>
      <c r="B383" s="132" t="s">
        <v>48</v>
      </c>
      <c r="C383" s="331">
        <v>12</v>
      </c>
      <c r="D383" s="21" t="s">
        <v>331</v>
      </c>
      <c r="E383" s="207"/>
      <c r="F383" s="575">
        <f t="shared" ref="F383:K383" si="56">F384+F387</f>
        <v>984.7</v>
      </c>
      <c r="G383" s="441">
        <f t="shared" si="56"/>
        <v>377</v>
      </c>
      <c r="H383" s="460">
        <f t="shared" si="56"/>
        <v>377</v>
      </c>
      <c r="I383" s="583">
        <f t="shared" si="56"/>
        <v>377</v>
      </c>
      <c r="J383" s="575">
        <f t="shared" si="56"/>
        <v>377</v>
      </c>
      <c r="K383" s="441">
        <f t="shared" si="56"/>
        <v>377</v>
      </c>
      <c r="L383" s="114"/>
      <c r="N383" s="114"/>
      <c r="O383" s="114"/>
    </row>
    <row r="384" spans="1:15" s="103" customFormat="1" x14ac:dyDescent="0.25">
      <c r="A384" s="183" t="s">
        <v>244</v>
      </c>
      <c r="B384" s="132" t="s">
        <v>48</v>
      </c>
      <c r="C384" s="331">
        <v>12</v>
      </c>
      <c r="D384" s="116" t="s">
        <v>330</v>
      </c>
      <c r="E384" s="205"/>
      <c r="F384" s="575">
        <f>F385</f>
        <v>607.70000000000005</v>
      </c>
      <c r="G384" s="441"/>
      <c r="H384" s="460">
        <f>H385</f>
        <v>0</v>
      </c>
      <c r="I384" s="583"/>
      <c r="J384" s="575">
        <f>J385</f>
        <v>0</v>
      </c>
      <c r="K384" s="441"/>
      <c r="L384" s="114"/>
      <c r="N384" s="114"/>
      <c r="O384" s="114"/>
    </row>
    <row r="385" spans="1:15" s="103" customFormat="1" x14ac:dyDescent="0.25">
      <c r="A385" s="252" t="s">
        <v>118</v>
      </c>
      <c r="B385" s="132" t="s">
        <v>48</v>
      </c>
      <c r="C385" s="331">
        <v>12</v>
      </c>
      <c r="D385" s="116" t="s">
        <v>330</v>
      </c>
      <c r="E385" s="334">
        <v>200</v>
      </c>
      <c r="F385" s="575">
        <f>F386</f>
        <v>607.70000000000005</v>
      </c>
      <c r="G385" s="441"/>
      <c r="H385" s="460">
        <f>H386</f>
        <v>0</v>
      </c>
      <c r="I385" s="583"/>
      <c r="J385" s="575">
        <f>J386</f>
        <v>0</v>
      </c>
      <c r="K385" s="441"/>
      <c r="L385" s="114"/>
      <c r="N385" s="114"/>
      <c r="O385" s="114"/>
    </row>
    <row r="386" spans="1:15" s="103" customFormat="1" ht="31.5" x14ac:dyDescent="0.25">
      <c r="A386" s="252" t="s">
        <v>51</v>
      </c>
      <c r="B386" s="132" t="s">
        <v>48</v>
      </c>
      <c r="C386" s="331">
        <v>12</v>
      </c>
      <c r="D386" s="116" t="s">
        <v>330</v>
      </c>
      <c r="E386" s="334">
        <v>240</v>
      </c>
      <c r="F386" s="575">
        <f>'ведом. 2025-2027'!AD273</f>
        <v>607.70000000000005</v>
      </c>
      <c r="G386" s="441"/>
      <c r="H386" s="460">
        <f>'ведом. 2025-2027'!AE273</f>
        <v>0</v>
      </c>
      <c r="I386" s="583"/>
      <c r="J386" s="575">
        <f>'ведом. 2025-2027'!AF273</f>
        <v>0</v>
      </c>
      <c r="K386" s="441"/>
      <c r="L386" s="114"/>
      <c r="N386" s="114"/>
      <c r="O386" s="114"/>
    </row>
    <row r="387" spans="1:15" s="103" customFormat="1" ht="47.25" x14ac:dyDescent="0.25">
      <c r="A387" s="255" t="s">
        <v>355</v>
      </c>
      <c r="B387" s="132" t="s">
        <v>48</v>
      </c>
      <c r="C387" s="331">
        <v>12</v>
      </c>
      <c r="D387" s="21" t="s">
        <v>354</v>
      </c>
      <c r="E387" s="334"/>
      <c r="F387" s="575">
        <f t="shared" ref="F387:K388" si="57">F388</f>
        <v>377</v>
      </c>
      <c r="G387" s="441">
        <f t="shared" si="57"/>
        <v>377</v>
      </c>
      <c r="H387" s="460">
        <f t="shared" si="57"/>
        <v>377</v>
      </c>
      <c r="I387" s="583">
        <f>I388</f>
        <v>377</v>
      </c>
      <c r="J387" s="575">
        <f t="shared" si="57"/>
        <v>377</v>
      </c>
      <c r="K387" s="441">
        <f t="shared" si="57"/>
        <v>377</v>
      </c>
      <c r="L387" s="114"/>
      <c r="N387" s="114"/>
      <c r="O387" s="114"/>
    </row>
    <row r="388" spans="1:15" s="103" customFormat="1" x14ac:dyDescent="0.25">
      <c r="A388" s="255" t="s">
        <v>118</v>
      </c>
      <c r="B388" s="132" t="s">
        <v>48</v>
      </c>
      <c r="C388" s="331">
        <v>12</v>
      </c>
      <c r="D388" s="21" t="s">
        <v>354</v>
      </c>
      <c r="E388" s="334">
        <v>200</v>
      </c>
      <c r="F388" s="575">
        <f t="shared" si="57"/>
        <v>377</v>
      </c>
      <c r="G388" s="441">
        <f t="shared" si="57"/>
        <v>377</v>
      </c>
      <c r="H388" s="460">
        <f t="shared" si="57"/>
        <v>377</v>
      </c>
      <c r="I388" s="583">
        <f>I389</f>
        <v>377</v>
      </c>
      <c r="J388" s="575">
        <f t="shared" si="57"/>
        <v>377</v>
      </c>
      <c r="K388" s="441">
        <f t="shared" si="57"/>
        <v>377</v>
      </c>
      <c r="L388" s="114"/>
      <c r="N388" s="114"/>
      <c r="O388" s="114"/>
    </row>
    <row r="389" spans="1:15" s="103" customFormat="1" ht="31.5" x14ac:dyDescent="0.25">
      <c r="A389" s="255" t="s">
        <v>51</v>
      </c>
      <c r="B389" s="132" t="s">
        <v>48</v>
      </c>
      <c r="C389" s="331">
        <v>12</v>
      </c>
      <c r="D389" s="21" t="s">
        <v>354</v>
      </c>
      <c r="E389" s="334">
        <v>240</v>
      </c>
      <c r="F389" s="575">
        <f>'ведом. 2025-2027'!AD276</f>
        <v>377</v>
      </c>
      <c r="G389" s="441">
        <f>F389</f>
        <v>377</v>
      </c>
      <c r="H389" s="460">
        <f>'ведом. 2025-2027'!AE276</f>
        <v>377</v>
      </c>
      <c r="I389" s="583">
        <f>H389</f>
        <v>377</v>
      </c>
      <c r="J389" s="575">
        <f>'ведом. 2025-2027'!AF276</f>
        <v>377</v>
      </c>
      <c r="K389" s="441">
        <f>J389</f>
        <v>377</v>
      </c>
      <c r="L389" s="114"/>
      <c r="N389" s="114"/>
      <c r="O389" s="114"/>
    </row>
    <row r="390" spans="1:15" s="103" customFormat="1" x14ac:dyDescent="0.25">
      <c r="A390" s="532" t="s">
        <v>866</v>
      </c>
      <c r="B390" s="132" t="s">
        <v>48</v>
      </c>
      <c r="C390" s="331">
        <v>12</v>
      </c>
      <c r="D390" s="21" t="s">
        <v>867</v>
      </c>
      <c r="E390" s="334"/>
      <c r="F390" s="575">
        <f>F391</f>
        <v>500</v>
      </c>
      <c r="G390" s="441"/>
      <c r="H390" s="460">
        <f t="shared" ref="H390:J394" si="58">H391</f>
        <v>0</v>
      </c>
      <c r="I390" s="583"/>
      <c r="J390" s="575">
        <f t="shared" si="58"/>
        <v>0</v>
      </c>
      <c r="K390" s="441"/>
      <c r="L390" s="114"/>
      <c r="N390" s="114"/>
      <c r="O390" s="114"/>
    </row>
    <row r="391" spans="1:15" s="103" customFormat="1" x14ac:dyDescent="0.25">
      <c r="A391" s="255" t="s">
        <v>868</v>
      </c>
      <c r="B391" s="132" t="s">
        <v>48</v>
      </c>
      <c r="C391" s="331">
        <v>12</v>
      </c>
      <c r="D391" s="21" t="s">
        <v>869</v>
      </c>
      <c r="E391" s="334"/>
      <c r="F391" s="575">
        <f>F392</f>
        <v>500</v>
      </c>
      <c r="G391" s="441"/>
      <c r="H391" s="460">
        <f t="shared" si="58"/>
        <v>0</v>
      </c>
      <c r="I391" s="583"/>
      <c r="J391" s="575">
        <f t="shared" si="58"/>
        <v>0</v>
      </c>
      <c r="K391" s="441"/>
      <c r="L391" s="114"/>
      <c r="N391" s="114"/>
      <c r="O391" s="114"/>
    </row>
    <row r="392" spans="1:15" s="103" customFormat="1" ht="31.5" x14ac:dyDescent="0.25">
      <c r="A392" s="255" t="s">
        <v>870</v>
      </c>
      <c r="B392" s="132" t="s">
        <v>48</v>
      </c>
      <c r="C392" s="331">
        <v>12</v>
      </c>
      <c r="D392" s="21" t="s">
        <v>871</v>
      </c>
      <c r="E392" s="334"/>
      <c r="F392" s="575">
        <f>F393</f>
        <v>500</v>
      </c>
      <c r="G392" s="441"/>
      <c r="H392" s="460">
        <f t="shared" si="58"/>
        <v>0</v>
      </c>
      <c r="I392" s="583"/>
      <c r="J392" s="575">
        <f t="shared" si="58"/>
        <v>0</v>
      </c>
      <c r="K392" s="441"/>
      <c r="L392" s="114"/>
      <c r="N392" s="114"/>
      <c r="O392" s="114"/>
    </row>
    <row r="393" spans="1:15" s="103" customFormat="1" x14ac:dyDescent="0.25">
      <c r="A393" s="255" t="s">
        <v>872</v>
      </c>
      <c r="B393" s="132" t="s">
        <v>48</v>
      </c>
      <c r="C393" s="331">
        <v>12</v>
      </c>
      <c r="D393" s="21" t="s">
        <v>873</v>
      </c>
      <c r="E393" s="334"/>
      <c r="F393" s="575">
        <f>F394</f>
        <v>500</v>
      </c>
      <c r="G393" s="441"/>
      <c r="H393" s="460">
        <f t="shared" si="58"/>
        <v>0</v>
      </c>
      <c r="I393" s="583"/>
      <c r="J393" s="575">
        <f t="shared" si="58"/>
        <v>0</v>
      </c>
      <c r="K393" s="441"/>
      <c r="L393" s="114"/>
      <c r="N393" s="114"/>
      <c r="O393" s="114"/>
    </row>
    <row r="394" spans="1:15" s="103" customFormat="1" x14ac:dyDescent="0.25">
      <c r="A394" s="255" t="s">
        <v>41</v>
      </c>
      <c r="B394" s="132" t="s">
        <v>48</v>
      </c>
      <c r="C394" s="331">
        <v>12</v>
      </c>
      <c r="D394" s="21" t="s">
        <v>873</v>
      </c>
      <c r="E394" s="334">
        <v>800</v>
      </c>
      <c r="F394" s="575">
        <f>F395</f>
        <v>500</v>
      </c>
      <c r="G394" s="441"/>
      <c r="H394" s="460">
        <f t="shared" si="58"/>
        <v>0</v>
      </c>
      <c r="I394" s="583"/>
      <c r="J394" s="575">
        <f t="shared" si="58"/>
        <v>0</v>
      </c>
      <c r="K394" s="441"/>
      <c r="L394" s="114"/>
      <c r="N394" s="114"/>
      <c r="O394" s="114"/>
    </row>
    <row r="395" spans="1:15" s="103" customFormat="1" ht="32.25" thickBot="1" x14ac:dyDescent="0.3">
      <c r="A395" s="607" t="s">
        <v>119</v>
      </c>
      <c r="B395" s="505" t="s">
        <v>48</v>
      </c>
      <c r="C395" s="506">
        <v>12</v>
      </c>
      <c r="D395" s="625" t="s">
        <v>873</v>
      </c>
      <c r="E395" s="626">
        <v>810</v>
      </c>
      <c r="F395" s="612">
        <f>'ведом. 2025-2027'!AD282</f>
        <v>500</v>
      </c>
      <c r="G395" s="613"/>
      <c r="H395" s="614">
        <f>'ведом. 2025-2027'!AF282</f>
        <v>0</v>
      </c>
      <c r="I395" s="615"/>
      <c r="J395" s="612">
        <f>'ведом. 2025-2027'!AH282</f>
        <v>0</v>
      </c>
      <c r="K395" s="613"/>
      <c r="L395" s="114"/>
      <c r="N395" s="114"/>
      <c r="O395" s="114"/>
    </row>
    <row r="396" spans="1:15" s="103" customFormat="1" ht="17.25" thickBot="1" x14ac:dyDescent="0.3">
      <c r="A396" s="258" t="s">
        <v>2</v>
      </c>
      <c r="B396" s="616" t="s">
        <v>4</v>
      </c>
      <c r="C396" s="600"/>
      <c r="D396" s="601"/>
      <c r="E396" s="628"/>
      <c r="F396" s="603">
        <f t="shared" ref="F396:K396" si="59">F397+F482+F575+F416</f>
        <v>1963746.3000000003</v>
      </c>
      <c r="G396" s="604">
        <f t="shared" si="59"/>
        <v>1044762.9000000001</v>
      </c>
      <c r="H396" s="605">
        <f t="shared" si="59"/>
        <v>1121602.3</v>
      </c>
      <c r="I396" s="606">
        <f t="shared" si="59"/>
        <v>561403.79999999993</v>
      </c>
      <c r="J396" s="603">
        <f t="shared" si="59"/>
        <v>970699.89999999991</v>
      </c>
      <c r="K396" s="604">
        <f t="shared" si="59"/>
        <v>397570.8</v>
      </c>
      <c r="L396" s="114"/>
      <c r="N396" s="114"/>
      <c r="O396" s="114"/>
    </row>
    <row r="397" spans="1:15" s="103" customFormat="1" x14ac:dyDescent="0.25">
      <c r="A397" s="592" t="s">
        <v>68</v>
      </c>
      <c r="B397" s="507" t="s">
        <v>4</v>
      </c>
      <c r="C397" s="508" t="s">
        <v>28</v>
      </c>
      <c r="D397" s="593"/>
      <c r="E397" s="627"/>
      <c r="F397" s="595">
        <f>F398+F410+F404</f>
        <v>27643</v>
      </c>
      <c r="G397" s="596"/>
      <c r="H397" s="597">
        <f>H398+H410+H404</f>
        <v>8300</v>
      </c>
      <c r="I397" s="598"/>
      <c r="J397" s="595">
        <f>J398+J410+J404</f>
        <v>8300</v>
      </c>
      <c r="K397" s="596"/>
      <c r="L397" s="114"/>
      <c r="N397" s="114"/>
      <c r="O397" s="114"/>
    </row>
    <row r="398" spans="1:15" s="103" customFormat="1" x14ac:dyDescent="0.25">
      <c r="A398" s="182" t="s">
        <v>184</v>
      </c>
      <c r="B398" s="132" t="s">
        <v>4</v>
      </c>
      <c r="C398" s="331" t="s">
        <v>28</v>
      </c>
      <c r="D398" s="116" t="s">
        <v>110</v>
      </c>
      <c r="E398" s="563"/>
      <c r="F398" s="575">
        <f>F399</f>
        <v>23503.7</v>
      </c>
      <c r="G398" s="441"/>
      <c r="H398" s="460">
        <f>H399</f>
        <v>8300</v>
      </c>
      <c r="I398" s="583"/>
      <c r="J398" s="575">
        <f>J399</f>
        <v>8300</v>
      </c>
      <c r="K398" s="441"/>
      <c r="L398" s="114"/>
      <c r="N398" s="114"/>
      <c r="O398" s="114"/>
    </row>
    <row r="399" spans="1:15" s="103" customFormat="1" x14ac:dyDescent="0.25">
      <c r="A399" s="182" t="s">
        <v>525</v>
      </c>
      <c r="B399" s="132" t="s">
        <v>4</v>
      </c>
      <c r="C399" s="331" t="s">
        <v>28</v>
      </c>
      <c r="D399" s="116" t="s">
        <v>111</v>
      </c>
      <c r="E399" s="563"/>
      <c r="F399" s="575">
        <f>F400</f>
        <v>23503.7</v>
      </c>
      <c r="G399" s="441"/>
      <c r="H399" s="460">
        <f>H400</f>
        <v>8300</v>
      </c>
      <c r="I399" s="583"/>
      <c r="J399" s="575">
        <f>J400</f>
        <v>8300</v>
      </c>
      <c r="K399" s="441"/>
      <c r="L399" s="114"/>
      <c r="N399" s="114"/>
      <c r="O399" s="114"/>
    </row>
    <row r="400" spans="1:15" s="103" customFormat="1" ht="31.5" x14ac:dyDescent="0.25">
      <c r="A400" s="183" t="s">
        <v>180</v>
      </c>
      <c r="B400" s="132" t="s">
        <v>4</v>
      </c>
      <c r="C400" s="331" t="s">
        <v>28</v>
      </c>
      <c r="D400" s="116" t="s">
        <v>181</v>
      </c>
      <c r="E400" s="563"/>
      <c r="F400" s="575">
        <f>F401</f>
        <v>23503.7</v>
      </c>
      <c r="G400" s="441"/>
      <c r="H400" s="460">
        <f>H401</f>
        <v>8300</v>
      </c>
      <c r="I400" s="583"/>
      <c r="J400" s="575">
        <f>J401</f>
        <v>8300</v>
      </c>
      <c r="K400" s="441"/>
      <c r="L400" s="114"/>
      <c r="N400" s="114"/>
      <c r="O400" s="114"/>
    </row>
    <row r="401" spans="1:15" s="103" customFormat="1" x14ac:dyDescent="0.25">
      <c r="A401" s="184" t="s">
        <v>428</v>
      </c>
      <c r="B401" s="132" t="s">
        <v>4</v>
      </c>
      <c r="C401" s="331" t="s">
        <v>28</v>
      </c>
      <c r="D401" s="116" t="s">
        <v>381</v>
      </c>
      <c r="E401" s="205"/>
      <c r="F401" s="575">
        <f>F402</f>
        <v>23503.7</v>
      </c>
      <c r="G401" s="441"/>
      <c r="H401" s="460">
        <f>H402</f>
        <v>8300</v>
      </c>
      <c r="I401" s="583"/>
      <c r="J401" s="575">
        <f>J402</f>
        <v>8300</v>
      </c>
      <c r="K401" s="441"/>
      <c r="L401" s="114"/>
      <c r="N401" s="114"/>
      <c r="O401" s="114"/>
    </row>
    <row r="402" spans="1:15" s="103" customFormat="1" x14ac:dyDescent="0.25">
      <c r="A402" s="255" t="s">
        <v>118</v>
      </c>
      <c r="B402" s="132" t="s">
        <v>4</v>
      </c>
      <c r="C402" s="331" t="s">
        <v>28</v>
      </c>
      <c r="D402" s="116" t="s">
        <v>381</v>
      </c>
      <c r="E402" s="564">
        <v>200</v>
      </c>
      <c r="F402" s="575">
        <f>F403</f>
        <v>23503.7</v>
      </c>
      <c r="G402" s="441"/>
      <c r="H402" s="460">
        <f>H403</f>
        <v>8300</v>
      </c>
      <c r="I402" s="583"/>
      <c r="J402" s="575">
        <f>J403</f>
        <v>8300</v>
      </c>
      <c r="K402" s="441"/>
      <c r="L402" s="114"/>
      <c r="N402" s="114"/>
      <c r="O402" s="114"/>
    </row>
    <row r="403" spans="1:15" s="103" customFormat="1" ht="31.5" x14ac:dyDescent="0.25">
      <c r="A403" s="255" t="s">
        <v>51</v>
      </c>
      <c r="B403" s="132" t="s">
        <v>4</v>
      </c>
      <c r="C403" s="331" t="s">
        <v>28</v>
      </c>
      <c r="D403" s="116" t="s">
        <v>381</v>
      </c>
      <c r="E403" s="564">
        <v>240</v>
      </c>
      <c r="F403" s="575">
        <f>'ведом. 2025-2027'!AD290</f>
        <v>23503.7</v>
      </c>
      <c r="G403" s="441"/>
      <c r="H403" s="460">
        <f>'ведом. 2025-2027'!AE290</f>
        <v>8300</v>
      </c>
      <c r="I403" s="583"/>
      <c r="J403" s="575">
        <f>'ведом. 2025-2027'!AF290</f>
        <v>8300</v>
      </c>
      <c r="K403" s="441"/>
      <c r="L403" s="114"/>
      <c r="N403" s="114"/>
      <c r="O403" s="114"/>
    </row>
    <row r="404" spans="1:15" s="103" customFormat="1" x14ac:dyDescent="0.25">
      <c r="A404" s="299" t="s">
        <v>240</v>
      </c>
      <c r="B404" s="509" t="s">
        <v>4</v>
      </c>
      <c r="C404" s="297" t="s">
        <v>28</v>
      </c>
      <c r="D404" s="409" t="s">
        <v>241</v>
      </c>
      <c r="E404" s="564"/>
      <c r="F404" s="575">
        <f>F405</f>
        <v>3464</v>
      </c>
      <c r="G404" s="441"/>
      <c r="H404" s="460">
        <f>H405</f>
        <v>0</v>
      </c>
      <c r="I404" s="583"/>
      <c r="J404" s="575">
        <f>J405</f>
        <v>0</v>
      </c>
      <c r="K404" s="441"/>
      <c r="L404" s="114"/>
      <c r="N404" s="114"/>
      <c r="O404" s="114"/>
    </row>
    <row r="405" spans="1:15" s="103" customFormat="1" ht="31.5" x14ac:dyDescent="0.25">
      <c r="A405" s="299" t="s">
        <v>535</v>
      </c>
      <c r="B405" s="509" t="s">
        <v>4</v>
      </c>
      <c r="C405" s="297" t="s">
        <v>28</v>
      </c>
      <c r="D405" s="409" t="s">
        <v>242</v>
      </c>
      <c r="E405" s="564"/>
      <c r="F405" s="575">
        <f>F406</f>
        <v>3464</v>
      </c>
      <c r="G405" s="441"/>
      <c r="H405" s="460">
        <f>H406</f>
        <v>0</v>
      </c>
      <c r="I405" s="583"/>
      <c r="J405" s="575">
        <f>J406</f>
        <v>0</v>
      </c>
      <c r="K405" s="441"/>
      <c r="L405" s="114"/>
      <c r="N405" s="114"/>
      <c r="O405" s="114"/>
    </row>
    <row r="406" spans="1:15" s="103" customFormat="1" ht="31.5" x14ac:dyDescent="0.25">
      <c r="A406" s="184" t="s">
        <v>319</v>
      </c>
      <c r="B406" s="132" t="s">
        <v>4</v>
      </c>
      <c r="C406" s="331" t="s">
        <v>28</v>
      </c>
      <c r="D406" s="409" t="s">
        <v>537</v>
      </c>
      <c r="E406" s="205"/>
      <c r="F406" s="575">
        <f>F407</f>
        <v>3464</v>
      </c>
      <c r="G406" s="441"/>
      <c r="H406" s="460">
        <f>H407</f>
        <v>0</v>
      </c>
      <c r="I406" s="583"/>
      <c r="J406" s="575">
        <f>J407</f>
        <v>0</v>
      </c>
      <c r="K406" s="441"/>
      <c r="L406" s="114"/>
      <c r="N406" s="114"/>
      <c r="O406" s="114"/>
    </row>
    <row r="407" spans="1:15" s="103" customFormat="1" x14ac:dyDescent="0.25">
      <c r="A407" s="184" t="s">
        <v>596</v>
      </c>
      <c r="B407" s="132" t="s">
        <v>4</v>
      </c>
      <c r="C407" s="331" t="s">
        <v>28</v>
      </c>
      <c r="D407" s="409" t="s">
        <v>671</v>
      </c>
      <c r="E407" s="207"/>
      <c r="F407" s="575">
        <f>F408</f>
        <v>3464</v>
      </c>
      <c r="G407" s="441"/>
      <c r="H407" s="460">
        <f>H408</f>
        <v>0</v>
      </c>
      <c r="I407" s="583"/>
      <c r="J407" s="575">
        <f>J408</f>
        <v>0</v>
      </c>
      <c r="K407" s="441"/>
      <c r="L407" s="114"/>
      <c r="N407" s="114"/>
      <c r="O407" s="114"/>
    </row>
    <row r="408" spans="1:15" s="103" customFormat="1" x14ac:dyDescent="0.25">
      <c r="A408" s="255" t="s">
        <v>41</v>
      </c>
      <c r="B408" s="132" t="s">
        <v>4</v>
      </c>
      <c r="C408" s="331" t="s">
        <v>28</v>
      </c>
      <c r="D408" s="409" t="s">
        <v>671</v>
      </c>
      <c r="E408" s="207" t="s">
        <v>342</v>
      </c>
      <c r="F408" s="575">
        <f>F409</f>
        <v>3464</v>
      </c>
      <c r="G408" s="441"/>
      <c r="H408" s="460">
        <f>H409</f>
        <v>0</v>
      </c>
      <c r="I408" s="583"/>
      <c r="J408" s="575">
        <f>J409</f>
        <v>0</v>
      </c>
      <c r="K408" s="441"/>
      <c r="L408" s="114"/>
      <c r="N408" s="114"/>
      <c r="O408" s="114"/>
    </row>
    <row r="409" spans="1:15" s="103" customFormat="1" ht="31.5" x14ac:dyDescent="0.25">
      <c r="A409" s="255" t="s">
        <v>119</v>
      </c>
      <c r="B409" s="132" t="s">
        <v>4</v>
      </c>
      <c r="C409" s="331" t="s">
        <v>28</v>
      </c>
      <c r="D409" s="409" t="s">
        <v>671</v>
      </c>
      <c r="E409" s="207" t="s">
        <v>343</v>
      </c>
      <c r="F409" s="575">
        <f>'ведом. 2025-2027'!AD296</f>
        <v>3464</v>
      </c>
      <c r="G409" s="441"/>
      <c r="H409" s="460">
        <f>'ведом. 2025-2027'!AE296</f>
        <v>0</v>
      </c>
      <c r="I409" s="583"/>
      <c r="J409" s="575">
        <f>'ведом. 2025-2027'!AF296</f>
        <v>0</v>
      </c>
      <c r="K409" s="441"/>
      <c r="L409" s="114"/>
      <c r="N409" s="114"/>
      <c r="O409" s="114"/>
    </row>
    <row r="410" spans="1:15" s="103" customFormat="1" x14ac:dyDescent="0.25">
      <c r="A410" s="198" t="s">
        <v>630</v>
      </c>
      <c r="B410" s="132" t="s">
        <v>4</v>
      </c>
      <c r="C410" s="331" t="s">
        <v>28</v>
      </c>
      <c r="D410" s="116" t="s">
        <v>620</v>
      </c>
      <c r="E410" s="207"/>
      <c r="F410" s="575">
        <f>F411</f>
        <v>675.3</v>
      </c>
      <c r="G410" s="441"/>
      <c r="H410" s="460">
        <f t="shared" ref="H410:J414" si="60">H411</f>
        <v>0</v>
      </c>
      <c r="I410" s="583"/>
      <c r="J410" s="575">
        <f t="shared" si="60"/>
        <v>0</v>
      </c>
      <c r="K410" s="441"/>
      <c r="L410" s="114"/>
      <c r="N410" s="114"/>
      <c r="O410" s="114"/>
    </row>
    <row r="411" spans="1:15" s="103" customFormat="1" ht="31.5" x14ac:dyDescent="0.25">
      <c r="A411" s="198" t="s">
        <v>712</v>
      </c>
      <c r="B411" s="132" t="s">
        <v>4</v>
      </c>
      <c r="C411" s="331" t="s">
        <v>28</v>
      </c>
      <c r="D411" s="116" t="s">
        <v>713</v>
      </c>
      <c r="E411" s="207"/>
      <c r="F411" s="575">
        <f>F412</f>
        <v>675.3</v>
      </c>
      <c r="G411" s="441"/>
      <c r="H411" s="460">
        <f t="shared" si="60"/>
        <v>0</v>
      </c>
      <c r="I411" s="583"/>
      <c r="J411" s="575">
        <f t="shared" si="60"/>
        <v>0</v>
      </c>
      <c r="K411" s="441"/>
      <c r="L411" s="114"/>
      <c r="N411" s="114"/>
      <c r="O411" s="114"/>
    </row>
    <row r="412" spans="1:15" s="103" customFormat="1" x14ac:dyDescent="0.25">
      <c r="A412" s="199" t="s">
        <v>714</v>
      </c>
      <c r="B412" s="132" t="s">
        <v>4</v>
      </c>
      <c r="C412" s="331" t="s">
        <v>28</v>
      </c>
      <c r="D412" s="116" t="s">
        <v>715</v>
      </c>
      <c r="E412" s="207"/>
      <c r="F412" s="575">
        <f>F413</f>
        <v>675.3</v>
      </c>
      <c r="G412" s="441"/>
      <c r="H412" s="460">
        <f t="shared" si="60"/>
        <v>0</v>
      </c>
      <c r="I412" s="583"/>
      <c r="J412" s="575">
        <f t="shared" si="60"/>
        <v>0</v>
      </c>
      <c r="K412" s="441"/>
      <c r="L412" s="114"/>
      <c r="N412" s="114"/>
      <c r="O412" s="114"/>
    </row>
    <row r="413" spans="1:15" s="103" customFormat="1" ht="31.5" x14ac:dyDescent="0.25">
      <c r="A413" s="199" t="s">
        <v>716</v>
      </c>
      <c r="B413" s="132" t="s">
        <v>4</v>
      </c>
      <c r="C413" s="331" t="s">
        <v>28</v>
      </c>
      <c r="D413" s="116" t="s">
        <v>717</v>
      </c>
      <c r="E413" s="207"/>
      <c r="F413" s="575">
        <f>F414</f>
        <v>675.3</v>
      </c>
      <c r="G413" s="441"/>
      <c r="H413" s="460">
        <f t="shared" si="60"/>
        <v>0</v>
      </c>
      <c r="I413" s="583"/>
      <c r="J413" s="575">
        <f t="shared" si="60"/>
        <v>0</v>
      </c>
      <c r="K413" s="441"/>
      <c r="L413" s="114"/>
      <c r="N413" s="114"/>
      <c r="O413" s="114"/>
    </row>
    <row r="414" spans="1:15" s="103" customFormat="1" x14ac:dyDescent="0.25">
      <c r="A414" s="198" t="s">
        <v>118</v>
      </c>
      <c r="B414" s="132" t="s">
        <v>4</v>
      </c>
      <c r="C414" s="331" t="s">
        <v>28</v>
      </c>
      <c r="D414" s="116" t="s">
        <v>717</v>
      </c>
      <c r="E414" s="207" t="s">
        <v>36</v>
      </c>
      <c r="F414" s="575">
        <f>F415</f>
        <v>675.3</v>
      </c>
      <c r="G414" s="441"/>
      <c r="H414" s="460">
        <f t="shared" si="60"/>
        <v>0</v>
      </c>
      <c r="I414" s="583"/>
      <c r="J414" s="575">
        <f t="shared" si="60"/>
        <v>0</v>
      </c>
      <c r="K414" s="441"/>
      <c r="L414" s="114"/>
      <c r="N414" s="114"/>
      <c r="O414" s="114"/>
    </row>
    <row r="415" spans="1:15" s="103" customFormat="1" ht="31.5" x14ac:dyDescent="0.25">
      <c r="A415" s="198" t="s">
        <v>51</v>
      </c>
      <c r="B415" s="132" t="s">
        <v>4</v>
      </c>
      <c r="C415" s="331" t="s">
        <v>28</v>
      </c>
      <c r="D415" s="116" t="s">
        <v>717</v>
      </c>
      <c r="E415" s="207" t="s">
        <v>64</v>
      </c>
      <c r="F415" s="575">
        <f>'ведом. 2025-2027'!AD935</f>
        <v>675.3</v>
      </c>
      <c r="G415" s="441"/>
      <c r="H415" s="460">
        <f>'ведом. 2025-2027'!AE935</f>
        <v>0</v>
      </c>
      <c r="I415" s="583"/>
      <c r="J415" s="575">
        <f>'ведом. 2025-2027'!AF935</f>
        <v>0</v>
      </c>
      <c r="K415" s="441"/>
      <c r="L415" s="114"/>
      <c r="N415" s="114"/>
      <c r="O415" s="114"/>
    </row>
    <row r="416" spans="1:15" s="103" customFormat="1" x14ac:dyDescent="0.25">
      <c r="A416" s="252" t="s">
        <v>321</v>
      </c>
      <c r="B416" s="132" t="s">
        <v>4</v>
      </c>
      <c r="C416" s="331" t="s">
        <v>29</v>
      </c>
      <c r="D416" s="334"/>
      <c r="E416" s="207"/>
      <c r="F416" s="575">
        <f t="shared" ref="F416:K416" si="61">F417+F476+F470</f>
        <v>1010648.2000000001</v>
      </c>
      <c r="G416" s="441">
        <f t="shared" si="61"/>
        <v>733233.70000000007</v>
      </c>
      <c r="H416" s="460">
        <f t="shared" si="61"/>
        <v>669118.1</v>
      </c>
      <c r="I416" s="583">
        <f t="shared" si="61"/>
        <v>545857.89999999991</v>
      </c>
      <c r="J416" s="575">
        <f t="shared" si="61"/>
        <v>240743.3</v>
      </c>
      <c r="K416" s="441">
        <f t="shared" si="61"/>
        <v>196928</v>
      </c>
      <c r="L416" s="114"/>
      <c r="N416" s="114"/>
      <c r="O416" s="114"/>
    </row>
    <row r="417" spans="1:15" s="103" customFormat="1" ht="31.5" x14ac:dyDescent="0.25">
      <c r="A417" s="224" t="s">
        <v>576</v>
      </c>
      <c r="B417" s="135" t="s">
        <v>4</v>
      </c>
      <c r="C417" s="225" t="s">
        <v>29</v>
      </c>
      <c r="D417" s="116" t="s">
        <v>109</v>
      </c>
      <c r="E417" s="565"/>
      <c r="F417" s="575">
        <f t="shared" ref="F417:K417" si="62">F423+F462+F418</f>
        <v>903655.10000000009</v>
      </c>
      <c r="G417" s="441">
        <f t="shared" si="62"/>
        <v>732748.60000000009</v>
      </c>
      <c r="H417" s="460">
        <f t="shared" si="62"/>
        <v>667598.5</v>
      </c>
      <c r="I417" s="583">
        <f t="shared" si="62"/>
        <v>544610.29999999993</v>
      </c>
      <c r="J417" s="575">
        <f t="shared" si="62"/>
        <v>240743.3</v>
      </c>
      <c r="K417" s="441">
        <f t="shared" si="62"/>
        <v>196928</v>
      </c>
      <c r="L417" s="114"/>
      <c r="N417" s="114"/>
      <c r="O417" s="114"/>
    </row>
    <row r="418" spans="1:15" s="103" customFormat="1" x14ac:dyDescent="0.25">
      <c r="A418" s="294" t="s">
        <v>849</v>
      </c>
      <c r="B418" s="509" t="s">
        <v>4</v>
      </c>
      <c r="C418" s="297" t="s">
        <v>29</v>
      </c>
      <c r="D418" s="409" t="s">
        <v>579</v>
      </c>
      <c r="E418" s="555"/>
      <c r="F418" s="575">
        <f>F419</f>
        <v>2500</v>
      </c>
      <c r="G418" s="441"/>
      <c r="H418" s="460">
        <f t="shared" ref="H418:J421" si="63">H419</f>
        <v>0</v>
      </c>
      <c r="I418" s="583"/>
      <c r="J418" s="575">
        <f t="shared" si="63"/>
        <v>0</v>
      </c>
      <c r="K418" s="441"/>
      <c r="L418" s="114"/>
      <c r="N418" s="114"/>
      <c r="O418" s="114"/>
    </row>
    <row r="419" spans="1:15" s="103" customFormat="1" ht="47.25" x14ac:dyDescent="0.25">
      <c r="A419" s="294" t="s">
        <v>851</v>
      </c>
      <c r="B419" s="509" t="s">
        <v>4</v>
      </c>
      <c r="C419" s="297" t="s">
        <v>29</v>
      </c>
      <c r="D419" s="409" t="s">
        <v>850</v>
      </c>
      <c r="E419" s="555"/>
      <c r="F419" s="575">
        <f>F420</f>
        <v>2500</v>
      </c>
      <c r="G419" s="441"/>
      <c r="H419" s="460">
        <f t="shared" si="63"/>
        <v>0</v>
      </c>
      <c r="I419" s="583"/>
      <c r="J419" s="575">
        <f t="shared" si="63"/>
        <v>0</v>
      </c>
      <c r="K419" s="441"/>
      <c r="L419" s="114"/>
      <c r="N419" s="114"/>
      <c r="O419" s="114"/>
    </row>
    <row r="420" spans="1:15" s="103" customFormat="1" ht="47.25" x14ac:dyDescent="0.25">
      <c r="A420" s="294" t="s">
        <v>848</v>
      </c>
      <c r="B420" s="509" t="s">
        <v>4</v>
      </c>
      <c r="C420" s="297" t="s">
        <v>29</v>
      </c>
      <c r="D420" s="409" t="s">
        <v>847</v>
      </c>
      <c r="E420" s="555"/>
      <c r="F420" s="575">
        <f>F421</f>
        <v>2500</v>
      </c>
      <c r="G420" s="441"/>
      <c r="H420" s="460">
        <f t="shared" si="63"/>
        <v>0</v>
      </c>
      <c r="I420" s="583"/>
      <c r="J420" s="575">
        <f t="shared" si="63"/>
        <v>0</v>
      </c>
      <c r="K420" s="441"/>
      <c r="L420" s="114"/>
      <c r="N420" s="114"/>
      <c r="O420" s="114"/>
    </row>
    <row r="421" spans="1:15" s="103" customFormat="1" x14ac:dyDescent="0.25">
      <c r="A421" s="294" t="s">
        <v>118</v>
      </c>
      <c r="B421" s="509" t="s">
        <v>4</v>
      </c>
      <c r="C421" s="297" t="s">
        <v>29</v>
      </c>
      <c r="D421" s="409" t="s">
        <v>847</v>
      </c>
      <c r="E421" s="207" t="s">
        <v>36</v>
      </c>
      <c r="F421" s="575">
        <f>F422</f>
        <v>2500</v>
      </c>
      <c r="G421" s="441"/>
      <c r="H421" s="460">
        <f t="shared" si="63"/>
        <v>0</v>
      </c>
      <c r="I421" s="583"/>
      <c r="J421" s="575">
        <f t="shared" si="63"/>
        <v>0</v>
      </c>
      <c r="K421" s="441"/>
      <c r="L421" s="114"/>
      <c r="N421" s="114"/>
      <c r="O421" s="114"/>
    </row>
    <row r="422" spans="1:15" s="103" customFormat="1" ht="31.5" x14ac:dyDescent="0.25">
      <c r="A422" s="294" t="s">
        <v>51</v>
      </c>
      <c r="B422" s="509" t="s">
        <v>4</v>
      </c>
      <c r="C422" s="297" t="s">
        <v>29</v>
      </c>
      <c r="D422" s="409" t="s">
        <v>847</v>
      </c>
      <c r="E422" s="207" t="s">
        <v>64</v>
      </c>
      <c r="F422" s="575">
        <f>'ведом. 2025-2027'!AD942</f>
        <v>2500</v>
      </c>
      <c r="G422" s="441"/>
      <c r="H422" s="460">
        <f>'ведом. 2025-2027'!AE942</f>
        <v>0</v>
      </c>
      <c r="I422" s="583"/>
      <c r="J422" s="575">
        <f>'ведом. 2025-2027'!AF942</f>
        <v>0</v>
      </c>
      <c r="K422" s="441"/>
      <c r="L422" s="114"/>
      <c r="N422" s="114"/>
      <c r="O422" s="114"/>
    </row>
    <row r="423" spans="1:15" s="103" customFormat="1" x14ac:dyDescent="0.25">
      <c r="A423" s="224" t="s">
        <v>524</v>
      </c>
      <c r="B423" s="135" t="s">
        <v>4</v>
      </c>
      <c r="C423" s="225" t="s">
        <v>29</v>
      </c>
      <c r="D423" s="116" t="s">
        <v>384</v>
      </c>
      <c r="E423" s="565"/>
      <c r="F423" s="575">
        <f t="shared" ref="F423:K423" si="64">F424+F448+F458</f>
        <v>879381.3</v>
      </c>
      <c r="G423" s="441">
        <f t="shared" si="64"/>
        <v>716248.60000000009</v>
      </c>
      <c r="H423" s="460">
        <f t="shared" si="64"/>
        <v>667598.5</v>
      </c>
      <c r="I423" s="583">
        <f t="shared" si="64"/>
        <v>544610.29999999993</v>
      </c>
      <c r="J423" s="575">
        <f t="shared" si="64"/>
        <v>240743.3</v>
      </c>
      <c r="K423" s="441">
        <f t="shared" si="64"/>
        <v>196928</v>
      </c>
      <c r="L423" s="114"/>
      <c r="N423" s="114"/>
      <c r="O423" s="114"/>
    </row>
    <row r="424" spans="1:15" s="103" customFormat="1" ht="31.5" x14ac:dyDescent="0.25">
      <c r="A424" s="224" t="s">
        <v>438</v>
      </c>
      <c r="B424" s="135" t="s">
        <v>4</v>
      </c>
      <c r="C424" s="225" t="s">
        <v>29</v>
      </c>
      <c r="D424" s="542" t="s">
        <v>437</v>
      </c>
      <c r="E424" s="565"/>
      <c r="F424" s="575">
        <f t="shared" ref="F424:K424" si="65">F425+F442+F432+F445+F429</f>
        <v>335775.9</v>
      </c>
      <c r="G424" s="441">
        <f t="shared" si="65"/>
        <v>273541.5</v>
      </c>
      <c r="H424" s="460">
        <f t="shared" si="65"/>
        <v>602111.30000000005</v>
      </c>
      <c r="I424" s="583">
        <f t="shared" si="65"/>
        <v>492897.79999999993</v>
      </c>
      <c r="J424" s="575">
        <f t="shared" si="65"/>
        <v>240743.3</v>
      </c>
      <c r="K424" s="441">
        <f t="shared" si="65"/>
        <v>196928</v>
      </c>
      <c r="L424" s="114"/>
      <c r="N424" s="114"/>
      <c r="O424" s="114"/>
    </row>
    <row r="425" spans="1:15" s="103" customFormat="1" x14ac:dyDescent="0.25">
      <c r="A425" s="294" t="s">
        <v>544</v>
      </c>
      <c r="B425" s="135" t="s">
        <v>4</v>
      </c>
      <c r="C425" s="225" t="s">
        <v>29</v>
      </c>
      <c r="D425" s="416" t="s">
        <v>637</v>
      </c>
      <c r="E425" s="565"/>
      <c r="F425" s="575">
        <f t="shared" ref="F425:K425" si="66">F426</f>
        <v>0</v>
      </c>
      <c r="G425" s="441">
        <f t="shared" si="66"/>
        <v>0</v>
      </c>
      <c r="H425" s="460">
        <f t="shared" si="66"/>
        <v>85557</v>
      </c>
      <c r="I425" s="583">
        <f t="shared" si="66"/>
        <v>69985.600000000006</v>
      </c>
      <c r="J425" s="575">
        <f t="shared" si="66"/>
        <v>0</v>
      </c>
      <c r="K425" s="441">
        <f t="shared" si="66"/>
        <v>0</v>
      </c>
      <c r="L425" s="114"/>
      <c r="N425" s="114"/>
      <c r="O425" s="114"/>
    </row>
    <row r="426" spans="1:15" s="103" customFormat="1" ht="31.5" x14ac:dyDescent="0.25">
      <c r="A426" s="294" t="s">
        <v>885</v>
      </c>
      <c r="B426" s="509" t="s">
        <v>4</v>
      </c>
      <c r="C426" s="297" t="s">
        <v>29</v>
      </c>
      <c r="D426" s="416" t="s">
        <v>886</v>
      </c>
      <c r="E426" s="555"/>
      <c r="F426" s="575">
        <f>F427</f>
        <v>0</v>
      </c>
      <c r="G426" s="441"/>
      <c r="H426" s="460">
        <f t="shared" ref="H426:J427" si="67">H427</f>
        <v>85557</v>
      </c>
      <c r="I426" s="583">
        <f t="shared" si="67"/>
        <v>69985.600000000006</v>
      </c>
      <c r="J426" s="575">
        <f t="shared" si="67"/>
        <v>0</v>
      </c>
      <c r="K426" s="441"/>
      <c r="L426" s="114"/>
      <c r="N426" s="114"/>
      <c r="O426" s="114"/>
    </row>
    <row r="427" spans="1:15" s="103" customFormat="1" x14ac:dyDescent="0.25">
      <c r="A427" s="294" t="s">
        <v>412</v>
      </c>
      <c r="B427" s="509" t="s">
        <v>4</v>
      </c>
      <c r="C427" s="297" t="s">
        <v>29</v>
      </c>
      <c r="D427" s="416" t="s">
        <v>886</v>
      </c>
      <c r="E427" s="555" t="s">
        <v>152</v>
      </c>
      <c r="F427" s="575">
        <f>F428</f>
        <v>0</v>
      </c>
      <c r="G427" s="441"/>
      <c r="H427" s="460">
        <f t="shared" si="67"/>
        <v>85557</v>
      </c>
      <c r="I427" s="583">
        <f t="shared" si="67"/>
        <v>69985.600000000006</v>
      </c>
      <c r="J427" s="575">
        <f t="shared" si="67"/>
        <v>0</v>
      </c>
      <c r="K427" s="441"/>
      <c r="L427" s="114"/>
      <c r="N427" s="114"/>
      <c r="O427" s="114"/>
    </row>
    <row r="428" spans="1:15" s="103" customFormat="1" x14ac:dyDescent="0.25">
      <c r="A428" s="294" t="s">
        <v>8</v>
      </c>
      <c r="B428" s="509" t="s">
        <v>4</v>
      </c>
      <c r="C428" s="297" t="s">
        <v>29</v>
      </c>
      <c r="D428" s="416" t="s">
        <v>886</v>
      </c>
      <c r="E428" s="555" t="s">
        <v>153</v>
      </c>
      <c r="F428" s="575">
        <f>'ведом. 2025-2027'!AD948</f>
        <v>0</v>
      </c>
      <c r="G428" s="441"/>
      <c r="H428" s="460">
        <f>'ведом. 2025-2027'!AE948</f>
        <v>85557</v>
      </c>
      <c r="I428" s="583">
        <v>69985.600000000006</v>
      </c>
      <c r="J428" s="575">
        <f>'ведом. 2025-2027'!AF948</f>
        <v>0</v>
      </c>
      <c r="K428" s="441"/>
      <c r="L428" s="114"/>
      <c r="N428" s="114"/>
      <c r="O428" s="114"/>
    </row>
    <row r="429" spans="1:15" s="103" customFormat="1" x14ac:dyDescent="0.25">
      <c r="A429" s="294" t="s">
        <v>544</v>
      </c>
      <c r="B429" s="135" t="s">
        <v>4</v>
      </c>
      <c r="C429" s="225" t="s">
        <v>29</v>
      </c>
      <c r="D429" s="416" t="s">
        <v>828</v>
      </c>
      <c r="E429" s="565"/>
      <c r="F429" s="575">
        <f>F430</f>
        <v>29882.799999999981</v>
      </c>
      <c r="G429" s="441">
        <f>G430</f>
        <v>23319.099999999991</v>
      </c>
      <c r="H429" s="460">
        <f>H430</f>
        <v>0</v>
      </c>
      <c r="I429" s="583"/>
      <c r="J429" s="575">
        <f>J430</f>
        <v>0</v>
      </c>
      <c r="K429" s="441"/>
      <c r="L429" s="114"/>
      <c r="N429" s="114"/>
      <c r="O429" s="114"/>
    </row>
    <row r="430" spans="1:15" s="103" customFormat="1" x14ac:dyDescent="0.25">
      <c r="A430" s="294" t="s">
        <v>412</v>
      </c>
      <c r="B430" s="135" t="s">
        <v>4</v>
      </c>
      <c r="C430" s="225" t="s">
        <v>29</v>
      </c>
      <c r="D430" s="416" t="s">
        <v>828</v>
      </c>
      <c r="E430" s="207" t="s">
        <v>152</v>
      </c>
      <c r="F430" s="575">
        <f>'ведом. 2025-2027'!AD951</f>
        <v>29882.799999999981</v>
      </c>
      <c r="G430" s="441">
        <f>G431</f>
        <v>23319.099999999991</v>
      </c>
      <c r="H430" s="460">
        <f>H431</f>
        <v>0</v>
      </c>
      <c r="I430" s="583"/>
      <c r="J430" s="575">
        <f>J431</f>
        <v>0</v>
      </c>
      <c r="K430" s="441"/>
      <c r="L430" s="114"/>
      <c r="N430" s="114"/>
      <c r="O430" s="114"/>
    </row>
    <row r="431" spans="1:15" s="103" customFormat="1" x14ac:dyDescent="0.25">
      <c r="A431" s="294" t="s">
        <v>8</v>
      </c>
      <c r="B431" s="135" t="s">
        <v>4</v>
      </c>
      <c r="C431" s="225" t="s">
        <v>29</v>
      </c>
      <c r="D431" s="416" t="s">
        <v>828</v>
      </c>
      <c r="E431" s="207" t="s">
        <v>153</v>
      </c>
      <c r="F431" s="575">
        <f>'ведом. 2025-2027'!AD951</f>
        <v>29882.799999999981</v>
      </c>
      <c r="G431" s="441">
        <f>85487.4+7817.3-69985.6</f>
        <v>23319.099999999991</v>
      </c>
      <c r="H431" s="460">
        <f>'ведом. 2025-2027'!AE951</f>
        <v>0</v>
      </c>
      <c r="I431" s="583"/>
      <c r="J431" s="575">
        <f>'ведом. 2025-2027'!AF951</f>
        <v>0</v>
      </c>
      <c r="K431" s="441"/>
      <c r="L431" s="114"/>
      <c r="N431" s="114"/>
      <c r="O431" s="114"/>
    </row>
    <row r="432" spans="1:15" s="103" customFormat="1" ht="31.5" x14ac:dyDescent="0.25">
      <c r="A432" s="294" t="s">
        <v>643</v>
      </c>
      <c r="B432" s="509" t="s">
        <v>4</v>
      </c>
      <c r="C432" s="297" t="s">
        <v>29</v>
      </c>
      <c r="D432" s="416" t="s">
        <v>642</v>
      </c>
      <c r="E432" s="555"/>
      <c r="F432" s="575">
        <f t="shared" ref="F432:K432" si="68">F433+F436+F439</f>
        <v>621.20000000000005</v>
      </c>
      <c r="G432" s="441">
        <f t="shared" si="68"/>
        <v>510</v>
      </c>
      <c r="H432" s="460">
        <f t="shared" si="68"/>
        <v>295713.39999999997</v>
      </c>
      <c r="I432" s="583">
        <f t="shared" si="68"/>
        <v>242264.39999999997</v>
      </c>
      <c r="J432" s="575">
        <f t="shared" si="68"/>
        <v>240743.3</v>
      </c>
      <c r="K432" s="441">
        <f t="shared" si="68"/>
        <v>196928</v>
      </c>
      <c r="L432" s="114"/>
      <c r="M432" s="114"/>
      <c r="N432" s="114"/>
      <c r="O432" s="114"/>
    </row>
    <row r="433" spans="1:15" s="103" customFormat="1" ht="47.25" x14ac:dyDescent="0.25">
      <c r="A433" s="294" t="s">
        <v>702</v>
      </c>
      <c r="B433" s="509" t="s">
        <v>4</v>
      </c>
      <c r="C433" s="297" t="s">
        <v>29</v>
      </c>
      <c r="D433" s="416" t="s">
        <v>700</v>
      </c>
      <c r="E433" s="555"/>
      <c r="F433" s="575">
        <f>F434</f>
        <v>0</v>
      </c>
      <c r="G433" s="441"/>
      <c r="H433" s="460">
        <f t="shared" ref="H433:K434" si="69">H434</f>
        <v>51481.299999999996</v>
      </c>
      <c r="I433" s="583">
        <f t="shared" si="69"/>
        <v>42111.7</v>
      </c>
      <c r="J433" s="575">
        <f t="shared" si="69"/>
        <v>120123</v>
      </c>
      <c r="K433" s="441">
        <f t="shared" si="69"/>
        <v>98260.6</v>
      </c>
      <c r="L433" s="114"/>
      <c r="N433" s="114"/>
      <c r="O433" s="114"/>
    </row>
    <row r="434" spans="1:15" s="103" customFormat="1" x14ac:dyDescent="0.25">
      <c r="A434" s="294" t="s">
        <v>412</v>
      </c>
      <c r="B434" s="509" t="s">
        <v>4</v>
      </c>
      <c r="C434" s="297" t="s">
        <v>29</v>
      </c>
      <c r="D434" s="416" t="s">
        <v>700</v>
      </c>
      <c r="E434" s="555" t="s">
        <v>152</v>
      </c>
      <c r="F434" s="575">
        <f>F435</f>
        <v>0</v>
      </c>
      <c r="G434" s="441"/>
      <c r="H434" s="460">
        <f t="shared" si="69"/>
        <v>51481.299999999996</v>
      </c>
      <c r="I434" s="583">
        <f t="shared" si="69"/>
        <v>42111.7</v>
      </c>
      <c r="J434" s="575">
        <f t="shared" si="69"/>
        <v>120123</v>
      </c>
      <c r="K434" s="441">
        <f t="shared" si="69"/>
        <v>98260.6</v>
      </c>
      <c r="L434" s="114"/>
      <c r="N434" s="114"/>
      <c r="O434" s="114"/>
    </row>
    <row r="435" spans="1:15" s="103" customFormat="1" x14ac:dyDescent="0.25">
      <c r="A435" s="294" t="s">
        <v>8</v>
      </c>
      <c r="B435" s="509" t="s">
        <v>4</v>
      </c>
      <c r="C435" s="297" t="s">
        <v>29</v>
      </c>
      <c r="D435" s="416" t="s">
        <v>700</v>
      </c>
      <c r="E435" s="555" t="s">
        <v>153</v>
      </c>
      <c r="F435" s="575">
        <f>'ведом. 2025-2027'!AD955</f>
        <v>0</v>
      </c>
      <c r="G435" s="441"/>
      <c r="H435" s="460">
        <f>'ведом. 2025-2027'!AE955</f>
        <v>51481.299999999996</v>
      </c>
      <c r="I435" s="583">
        <v>42111.7</v>
      </c>
      <c r="J435" s="575">
        <f>'ведом. 2025-2027'!AF955</f>
        <v>120123</v>
      </c>
      <c r="K435" s="441">
        <v>98260.6</v>
      </c>
      <c r="L435" s="114"/>
      <c r="M435" s="114"/>
      <c r="N435" s="114"/>
      <c r="O435" s="114"/>
    </row>
    <row r="436" spans="1:15" s="103" customFormat="1" ht="47.25" x14ac:dyDescent="0.25">
      <c r="A436" s="294" t="s">
        <v>703</v>
      </c>
      <c r="B436" s="509" t="s">
        <v>4</v>
      </c>
      <c r="C436" s="297" t="s">
        <v>29</v>
      </c>
      <c r="D436" s="416" t="s">
        <v>701</v>
      </c>
      <c r="E436" s="555"/>
      <c r="F436" s="575">
        <f>F437</f>
        <v>0</v>
      </c>
      <c r="G436" s="441"/>
      <c r="H436" s="460">
        <f t="shared" ref="H436:K437" si="70">H437</f>
        <v>120620.29999999999</v>
      </c>
      <c r="I436" s="583">
        <f t="shared" si="70"/>
        <v>98667.4</v>
      </c>
      <c r="J436" s="575">
        <f t="shared" si="70"/>
        <v>120620.29999999999</v>
      </c>
      <c r="K436" s="441">
        <f t="shared" si="70"/>
        <v>98667.4</v>
      </c>
      <c r="L436" s="114"/>
      <c r="N436" s="114"/>
      <c r="O436" s="114"/>
    </row>
    <row r="437" spans="1:15" s="103" customFormat="1" x14ac:dyDescent="0.25">
      <c r="A437" s="294" t="s">
        <v>412</v>
      </c>
      <c r="B437" s="509" t="s">
        <v>4</v>
      </c>
      <c r="C437" s="297" t="s">
        <v>29</v>
      </c>
      <c r="D437" s="416" t="s">
        <v>701</v>
      </c>
      <c r="E437" s="555" t="s">
        <v>152</v>
      </c>
      <c r="F437" s="575">
        <f>F438</f>
        <v>0</v>
      </c>
      <c r="G437" s="441"/>
      <c r="H437" s="460">
        <f t="shared" si="70"/>
        <v>120620.29999999999</v>
      </c>
      <c r="I437" s="583">
        <f t="shared" si="70"/>
        <v>98667.4</v>
      </c>
      <c r="J437" s="575">
        <f t="shared" si="70"/>
        <v>120620.29999999999</v>
      </c>
      <c r="K437" s="441">
        <f t="shared" si="70"/>
        <v>98667.4</v>
      </c>
      <c r="L437" s="114"/>
      <c r="N437" s="114"/>
      <c r="O437" s="114"/>
    </row>
    <row r="438" spans="1:15" s="103" customFormat="1" x14ac:dyDescent="0.25">
      <c r="A438" s="294" t="s">
        <v>8</v>
      </c>
      <c r="B438" s="509" t="s">
        <v>4</v>
      </c>
      <c r="C438" s="297" t="s">
        <v>29</v>
      </c>
      <c r="D438" s="416" t="s">
        <v>701</v>
      </c>
      <c r="E438" s="555" t="s">
        <v>153</v>
      </c>
      <c r="F438" s="575">
        <f>'ведом. 2025-2027'!AD958</f>
        <v>0</v>
      </c>
      <c r="G438" s="441"/>
      <c r="H438" s="460">
        <f>'ведом. 2025-2027'!AE958</f>
        <v>120620.29999999999</v>
      </c>
      <c r="I438" s="583">
        <v>98667.4</v>
      </c>
      <c r="J438" s="575">
        <f>'ведом. 2025-2027'!AF958</f>
        <v>120620.29999999999</v>
      </c>
      <c r="K438" s="441">
        <v>98667.4</v>
      </c>
      <c r="L438" s="114"/>
      <c r="M438" s="114"/>
      <c r="N438" s="114"/>
      <c r="O438" s="114"/>
    </row>
    <row r="439" spans="1:15" s="103" customFormat="1" ht="47.25" x14ac:dyDescent="0.25">
      <c r="A439" s="294" t="s">
        <v>819</v>
      </c>
      <c r="B439" s="509" t="s">
        <v>4</v>
      </c>
      <c r="C439" s="297" t="s">
        <v>29</v>
      </c>
      <c r="D439" s="416" t="s">
        <v>820</v>
      </c>
      <c r="E439" s="555"/>
      <c r="F439" s="575">
        <f>F440</f>
        <v>621.20000000000005</v>
      </c>
      <c r="G439" s="441">
        <f t="shared" ref="G439:J440" si="71">G440</f>
        <v>510</v>
      </c>
      <c r="H439" s="460">
        <f t="shared" si="71"/>
        <v>123611.8</v>
      </c>
      <c r="I439" s="583">
        <f t="shared" si="71"/>
        <v>101485.3</v>
      </c>
      <c r="J439" s="575">
        <f t="shared" si="71"/>
        <v>0</v>
      </c>
      <c r="K439" s="441"/>
      <c r="L439" s="114"/>
      <c r="M439" s="114"/>
      <c r="N439" s="114"/>
      <c r="O439" s="114"/>
    </row>
    <row r="440" spans="1:15" s="103" customFormat="1" x14ac:dyDescent="0.25">
      <c r="A440" s="294" t="s">
        <v>412</v>
      </c>
      <c r="B440" s="509" t="s">
        <v>4</v>
      </c>
      <c r="C440" s="297" t="s">
        <v>29</v>
      </c>
      <c r="D440" s="416" t="s">
        <v>820</v>
      </c>
      <c r="E440" s="555" t="s">
        <v>152</v>
      </c>
      <c r="F440" s="575">
        <f>F441</f>
        <v>621.20000000000005</v>
      </c>
      <c r="G440" s="441">
        <f t="shared" si="71"/>
        <v>510</v>
      </c>
      <c r="H440" s="460">
        <f t="shared" si="71"/>
        <v>123611.8</v>
      </c>
      <c r="I440" s="583">
        <f t="shared" si="71"/>
        <v>101485.3</v>
      </c>
      <c r="J440" s="575">
        <f t="shared" si="71"/>
        <v>0</v>
      </c>
      <c r="K440" s="441"/>
      <c r="L440" s="19"/>
      <c r="M440" s="114"/>
      <c r="N440" s="114"/>
      <c r="O440" s="114"/>
    </row>
    <row r="441" spans="1:15" s="103" customFormat="1" x14ac:dyDescent="0.25">
      <c r="A441" s="294" t="s">
        <v>8</v>
      </c>
      <c r="B441" s="509" t="s">
        <v>4</v>
      </c>
      <c r="C441" s="297" t="s">
        <v>29</v>
      </c>
      <c r="D441" s="416" t="s">
        <v>820</v>
      </c>
      <c r="E441" s="555" t="s">
        <v>153</v>
      </c>
      <c r="F441" s="575">
        <f>'ведом. 2025-2027'!AD961</f>
        <v>621.20000000000005</v>
      </c>
      <c r="G441" s="441">
        <v>510</v>
      </c>
      <c r="H441" s="460">
        <f>'ведом. 2025-2027'!AE961</f>
        <v>123611.8</v>
      </c>
      <c r="I441" s="583">
        <v>101485.3</v>
      </c>
      <c r="J441" s="575">
        <v>0</v>
      </c>
      <c r="K441" s="441"/>
      <c r="L441" s="114"/>
      <c r="M441" s="114"/>
      <c r="N441" s="114"/>
      <c r="O441" s="114"/>
    </row>
    <row r="442" spans="1:15" s="103" customFormat="1" x14ac:dyDescent="0.25">
      <c r="A442" s="255" t="s">
        <v>628</v>
      </c>
      <c r="B442" s="132" t="s">
        <v>4</v>
      </c>
      <c r="C442" s="331" t="s">
        <v>29</v>
      </c>
      <c r="D442" s="416" t="s">
        <v>635</v>
      </c>
      <c r="E442" s="207"/>
      <c r="F442" s="575">
        <f>F443</f>
        <v>112639.70000000004</v>
      </c>
      <c r="G442" s="441">
        <f t="shared" ref="G442:J443" si="72">G443</f>
        <v>92139.299999999988</v>
      </c>
      <c r="H442" s="460">
        <f t="shared" si="72"/>
        <v>220840.9</v>
      </c>
      <c r="I442" s="583">
        <f t="shared" si="72"/>
        <v>180647.8</v>
      </c>
      <c r="J442" s="575">
        <f t="shared" si="72"/>
        <v>0</v>
      </c>
      <c r="K442" s="441"/>
      <c r="L442" s="114"/>
      <c r="N442" s="114"/>
      <c r="O442" s="114"/>
    </row>
    <row r="443" spans="1:15" s="103" customFormat="1" x14ac:dyDescent="0.25">
      <c r="A443" s="255" t="s">
        <v>118</v>
      </c>
      <c r="B443" s="132" t="s">
        <v>4</v>
      </c>
      <c r="C443" s="331" t="s">
        <v>29</v>
      </c>
      <c r="D443" s="416" t="s">
        <v>635</v>
      </c>
      <c r="E443" s="207" t="s">
        <v>36</v>
      </c>
      <c r="F443" s="575">
        <f>F444</f>
        <v>112639.70000000004</v>
      </c>
      <c r="G443" s="441">
        <f t="shared" si="72"/>
        <v>92139.299999999988</v>
      </c>
      <c r="H443" s="460">
        <f t="shared" si="72"/>
        <v>220840.9</v>
      </c>
      <c r="I443" s="583">
        <f t="shared" si="72"/>
        <v>180647.8</v>
      </c>
      <c r="J443" s="575">
        <f t="shared" si="72"/>
        <v>0</v>
      </c>
      <c r="K443" s="441"/>
      <c r="L443" s="114"/>
      <c r="N443" s="114"/>
      <c r="O443" s="114"/>
    </row>
    <row r="444" spans="1:15" s="103" customFormat="1" ht="31.5" x14ac:dyDescent="0.25">
      <c r="A444" s="255" t="s">
        <v>51</v>
      </c>
      <c r="B444" s="132" t="s">
        <v>4</v>
      </c>
      <c r="C444" s="331" t="s">
        <v>29</v>
      </c>
      <c r="D444" s="416" t="s">
        <v>635</v>
      </c>
      <c r="E444" s="207" t="s">
        <v>64</v>
      </c>
      <c r="F444" s="575">
        <f>'ведом. 2025-2027'!AD964</f>
        <v>112639.70000000004</v>
      </c>
      <c r="G444" s="441">
        <f>249712.4-157573.1</f>
        <v>92139.299999999988</v>
      </c>
      <c r="H444" s="460">
        <f>'ведом. 2025-2027'!AE964</f>
        <v>220840.9</v>
      </c>
      <c r="I444" s="583">
        <v>180647.8</v>
      </c>
      <c r="J444" s="575">
        <f>'ведом. 2025-2027'!AF964</f>
        <v>0</v>
      </c>
      <c r="K444" s="441"/>
      <c r="L444" s="114"/>
      <c r="M444" s="114"/>
      <c r="N444" s="114"/>
      <c r="O444" s="114"/>
    </row>
    <row r="445" spans="1:15" s="103" customFormat="1" ht="47.25" x14ac:dyDescent="0.25">
      <c r="A445" s="294" t="s">
        <v>830</v>
      </c>
      <c r="B445" s="509" t="s">
        <v>4</v>
      </c>
      <c r="C445" s="297" t="s">
        <v>29</v>
      </c>
      <c r="D445" s="416" t="s">
        <v>829</v>
      </c>
      <c r="E445" s="555"/>
      <c r="F445" s="575">
        <f>F446</f>
        <v>192632.2</v>
      </c>
      <c r="G445" s="441">
        <f t="shared" ref="G445:J446" si="73">G446</f>
        <v>157573.1</v>
      </c>
      <c r="H445" s="460">
        <f t="shared" si="73"/>
        <v>0</v>
      </c>
      <c r="I445" s="583"/>
      <c r="J445" s="575">
        <f t="shared" si="73"/>
        <v>0</v>
      </c>
      <c r="K445" s="441"/>
      <c r="L445" s="114"/>
      <c r="M445" s="114"/>
      <c r="N445" s="114"/>
      <c r="O445" s="114"/>
    </row>
    <row r="446" spans="1:15" s="103" customFormat="1" x14ac:dyDescent="0.25">
      <c r="A446" s="294" t="s">
        <v>118</v>
      </c>
      <c r="B446" s="509" t="s">
        <v>4</v>
      </c>
      <c r="C446" s="297" t="s">
        <v>29</v>
      </c>
      <c r="D446" s="416" t="s">
        <v>829</v>
      </c>
      <c r="E446" s="555" t="s">
        <v>36</v>
      </c>
      <c r="F446" s="575">
        <f>F447</f>
        <v>192632.2</v>
      </c>
      <c r="G446" s="441">
        <f t="shared" si="73"/>
        <v>157573.1</v>
      </c>
      <c r="H446" s="460">
        <f t="shared" si="73"/>
        <v>0</v>
      </c>
      <c r="I446" s="583"/>
      <c r="J446" s="575">
        <f t="shared" si="73"/>
        <v>0</v>
      </c>
      <c r="K446" s="441"/>
      <c r="L446" s="114"/>
      <c r="M446" s="114"/>
      <c r="N446" s="114"/>
      <c r="O446" s="114"/>
    </row>
    <row r="447" spans="1:15" s="103" customFormat="1" ht="31.5" x14ac:dyDescent="0.25">
      <c r="A447" s="294" t="s">
        <v>51</v>
      </c>
      <c r="B447" s="509" t="s">
        <v>4</v>
      </c>
      <c r="C447" s="297" t="s">
        <v>29</v>
      </c>
      <c r="D447" s="416" t="s">
        <v>829</v>
      </c>
      <c r="E447" s="555" t="s">
        <v>64</v>
      </c>
      <c r="F447" s="575">
        <f>'ведом. 2025-2027'!AD967</f>
        <v>192632.2</v>
      </c>
      <c r="G447" s="441">
        <v>157573.1</v>
      </c>
      <c r="H447" s="460">
        <f>'ведом. 2025-2027'!AE967</f>
        <v>0</v>
      </c>
      <c r="I447" s="583"/>
      <c r="J447" s="575">
        <f>'ведом. 2025-2027'!AF967</f>
        <v>0</v>
      </c>
      <c r="K447" s="441"/>
      <c r="L447" s="114"/>
      <c r="M447" s="114"/>
      <c r="N447" s="114"/>
      <c r="O447" s="114"/>
    </row>
    <row r="448" spans="1:15" s="103" customFormat="1" ht="47.25" x14ac:dyDescent="0.25">
      <c r="A448" s="255" t="s">
        <v>709</v>
      </c>
      <c r="B448" s="132" t="s">
        <v>4</v>
      </c>
      <c r="C448" s="331" t="s">
        <v>29</v>
      </c>
      <c r="D448" s="116" t="s">
        <v>615</v>
      </c>
      <c r="E448" s="207"/>
      <c r="F448" s="575">
        <f>F452+F449+F455</f>
        <v>542713.4</v>
      </c>
      <c r="G448" s="441">
        <f>G452+G449+G455</f>
        <v>442707.10000000003</v>
      </c>
      <c r="H448" s="460">
        <f>H452+H449+H455</f>
        <v>62987.199999999997</v>
      </c>
      <c r="I448" s="583">
        <f>I452+I449+I455</f>
        <v>51712.5</v>
      </c>
      <c r="J448" s="575">
        <f>J452+J449+J455</f>
        <v>0</v>
      </c>
      <c r="K448" s="441"/>
      <c r="L448" s="114"/>
      <c r="N448" s="114"/>
      <c r="O448" s="114"/>
    </row>
    <row r="449" spans="1:24" s="103" customFormat="1" ht="31.5" x14ac:dyDescent="0.25">
      <c r="A449" s="294" t="s">
        <v>766</v>
      </c>
      <c r="B449" s="509" t="s">
        <v>4</v>
      </c>
      <c r="C449" s="297" t="s">
        <v>29</v>
      </c>
      <c r="D449" s="409" t="s">
        <v>765</v>
      </c>
      <c r="E449" s="555"/>
      <c r="F449" s="575">
        <f>F450</f>
        <v>1508</v>
      </c>
      <c r="G449" s="441"/>
      <c r="H449" s="460">
        <f t="shared" ref="H449:J450" si="74">H450</f>
        <v>0</v>
      </c>
      <c r="I449" s="583"/>
      <c r="J449" s="575">
        <f t="shared" si="74"/>
        <v>0</v>
      </c>
      <c r="K449" s="441"/>
      <c r="L449" s="114"/>
      <c r="N449" s="114"/>
      <c r="O449" s="114"/>
    </row>
    <row r="450" spans="1:24" s="103" customFormat="1" x14ac:dyDescent="0.25">
      <c r="A450" s="294" t="s">
        <v>118</v>
      </c>
      <c r="B450" s="509" t="s">
        <v>4</v>
      </c>
      <c r="C450" s="297" t="s">
        <v>29</v>
      </c>
      <c r="D450" s="409" t="s">
        <v>765</v>
      </c>
      <c r="E450" s="555" t="s">
        <v>36</v>
      </c>
      <c r="F450" s="575">
        <f>F451</f>
        <v>1508</v>
      </c>
      <c r="G450" s="441"/>
      <c r="H450" s="460">
        <f t="shared" si="74"/>
        <v>0</v>
      </c>
      <c r="I450" s="583"/>
      <c r="J450" s="575">
        <f t="shared" si="74"/>
        <v>0</v>
      </c>
      <c r="K450" s="441"/>
      <c r="L450" s="114"/>
      <c r="N450" s="114"/>
      <c r="O450" s="114"/>
    </row>
    <row r="451" spans="1:24" s="103" customFormat="1" ht="31.5" x14ac:dyDescent="0.25">
      <c r="A451" s="294" t="s">
        <v>51</v>
      </c>
      <c r="B451" s="509" t="s">
        <v>4</v>
      </c>
      <c r="C451" s="297" t="s">
        <v>29</v>
      </c>
      <c r="D451" s="409" t="s">
        <v>765</v>
      </c>
      <c r="E451" s="555" t="s">
        <v>64</v>
      </c>
      <c r="F451" s="575">
        <f>'ведом. 2025-2027'!AD971</f>
        <v>1508</v>
      </c>
      <c r="G451" s="441"/>
      <c r="H451" s="460">
        <f>'ведом. 2025-2027'!AF971</f>
        <v>0</v>
      </c>
      <c r="I451" s="583"/>
      <c r="J451" s="575">
        <f>'ведом. 2025-2027'!AH971</f>
        <v>0</v>
      </c>
      <c r="K451" s="441"/>
      <c r="L451" s="114"/>
      <c r="N451" s="114"/>
      <c r="O451" s="114"/>
    </row>
    <row r="452" spans="1:24" s="103" customFormat="1" ht="31.5" x14ac:dyDescent="0.25">
      <c r="A452" s="255" t="s">
        <v>629</v>
      </c>
      <c r="B452" s="132" t="s">
        <v>4</v>
      </c>
      <c r="C452" s="331" t="s">
        <v>29</v>
      </c>
      <c r="D452" s="416" t="s">
        <v>636</v>
      </c>
      <c r="E452" s="207"/>
      <c r="F452" s="575">
        <f t="shared" ref="F452:J453" si="75">F453</f>
        <v>61292.300000000061</v>
      </c>
      <c r="G452" s="441">
        <f t="shared" si="75"/>
        <v>50138.200000000048</v>
      </c>
      <c r="H452" s="460">
        <f t="shared" si="75"/>
        <v>62987.199999999997</v>
      </c>
      <c r="I452" s="583">
        <f>I453</f>
        <v>51712.5</v>
      </c>
      <c r="J452" s="575">
        <f t="shared" si="75"/>
        <v>0</v>
      </c>
      <c r="K452" s="441"/>
      <c r="L452" s="114"/>
      <c r="N452" s="114"/>
      <c r="O452" s="114"/>
    </row>
    <row r="453" spans="1:24" s="103" customFormat="1" x14ac:dyDescent="0.25">
      <c r="A453" s="255" t="s">
        <v>118</v>
      </c>
      <c r="B453" s="132" t="s">
        <v>4</v>
      </c>
      <c r="C453" s="331" t="s">
        <v>29</v>
      </c>
      <c r="D453" s="416" t="s">
        <v>636</v>
      </c>
      <c r="E453" s="207" t="s">
        <v>36</v>
      </c>
      <c r="F453" s="575">
        <f t="shared" si="75"/>
        <v>61292.300000000061</v>
      </c>
      <c r="G453" s="441">
        <f t="shared" si="75"/>
        <v>50138.200000000048</v>
      </c>
      <c r="H453" s="460">
        <f t="shared" si="75"/>
        <v>62987.199999999997</v>
      </c>
      <c r="I453" s="583">
        <f>I454</f>
        <v>51712.5</v>
      </c>
      <c r="J453" s="575">
        <f t="shared" si="75"/>
        <v>0</v>
      </c>
      <c r="K453" s="441"/>
      <c r="L453" s="114"/>
      <c r="N453" s="114"/>
      <c r="O453" s="114"/>
    </row>
    <row r="454" spans="1:24" s="103" customFormat="1" ht="31.5" x14ac:dyDescent="0.25">
      <c r="A454" s="255" t="s">
        <v>51</v>
      </c>
      <c r="B454" s="132" t="s">
        <v>4</v>
      </c>
      <c r="C454" s="331" t="s">
        <v>29</v>
      </c>
      <c r="D454" s="416" t="s">
        <v>636</v>
      </c>
      <c r="E454" s="207" t="s">
        <v>64</v>
      </c>
      <c r="F454" s="575">
        <f>'ведом. 2025-2027'!AD974</f>
        <v>61292.300000000061</v>
      </c>
      <c r="G454" s="441">
        <f>396736.7+259.9-384783.8+5089.1+32836.3</f>
        <v>50138.200000000048</v>
      </c>
      <c r="H454" s="460">
        <f>'ведом. 2025-2027'!AE974</f>
        <v>62987.199999999997</v>
      </c>
      <c r="I454" s="583">
        <v>51712.5</v>
      </c>
      <c r="J454" s="575">
        <f>'ведом. 2025-2027'!AF974</f>
        <v>0</v>
      </c>
      <c r="K454" s="441"/>
      <c r="L454" s="114"/>
      <c r="N454" s="114"/>
      <c r="O454" s="114"/>
    </row>
    <row r="455" spans="1:24" s="103" customFormat="1" ht="31.5" x14ac:dyDescent="0.25">
      <c r="A455" s="294" t="s">
        <v>833</v>
      </c>
      <c r="B455" s="509" t="s">
        <v>4</v>
      </c>
      <c r="C455" s="297" t="s">
        <v>29</v>
      </c>
      <c r="D455" s="416" t="s">
        <v>834</v>
      </c>
      <c r="E455" s="555"/>
      <c r="F455" s="575">
        <f>F456</f>
        <v>479913.1</v>
      </c>
      <c r="G455" s="441">
        <f t="shared" ref="G455:J456" si="76">G456</f>
        <v>392568.89999999997</v>
      </c>
      <c r="H455" s="460">
        <f t="shared" si="76"/>
        <v>0</v>
      </c>
      <c r="I455" s="583"/>
      <c r="J455" s="575">
        <f t="shared" si="76"/>
        <v>0</v>
      </c>
      <c r="K455" s="441"/>
      <c r="L455" s="114"/>
      <c r="N455" s="114"/>
      <c r="O455" s="114"/>
    </row>
    <row r="456" spans="1:24" s="103" customFormat="1" x14ac:dyDescent="0.25">
      <c r="A456" s="294" t="s">
        <v>118</v>
      </c>
      <c r="B456" s="509" t="s">
        <v>4</v>
      </c>
      <c r="C456" s="297" t="s">
        <v>29</v>
      </c>
      <c r="D456" s="416" t="s">
        <v>834</v>
      </c>
      <c r="E456" s="555" t="s">
        <v>36</v>
      </c>
      <c r="F456" s="575">
        <f>F457</f>
        <v>479913.1</v>
      </c>
      <c r="G456" s="441">
        <f t="shared" si="76"/>
        <v>392568.89999999997</v>
      </c>
      <c r="H456" s="460">
        <f t="shared" si="76"/>
        <v>0</v>
      </c>
      <c r="I456" s="583"/>
      <c r="J456" s="575">
        <f t="shared" si="76"/>
        <v>0</v>
      </c>
      <c r="K456" s="441"/>
      <c r="L456" s="114"/>
      <c r="N456" s="114"/>
      <c r="O456" s="114"/>
    </row>
    <row r="457" spans="1:24" s="103" customFormat="1" ht="31.5" x14ac:dyDescent="0.25">
      <c r="A457" s="294" t="s">
        <v>51</v>
      </c>
      <c r="B457" s="509" t="s">
        <v>4</v>
      </c>
      <c r="C457" s="297" t="s">
        <v>29</v>
      </c>
      <c r="D457" s="416" t="s">
        <v>834</v>
      </c>
      <c r="E457" s="555" t="s">
        <v>64</v>
      </c>
      <c r="F457" s="575">
        <f>'ведом. 2025-2027'!AD977</f>
        <v>479913.1</v>
      </c>
      <c r="G457" s="441">
        <f>384783.8+7785.1</f>
        <v>392568.89999999997</v>
      </c>
      <c r="H457" s="460">
        <f>'ведом. 2025-2027'!AE977</f>
        <v>0</v>
      </c>
      <c r="I457" s="583"/>
      <c r="J457" s="575">
        <f>'ведом. 2025-2027'!AF977</f>
        <v>0</v>
      </c>
      <c r="K457" s="441"/>
      <c r="L457" s="114"/>
      <c r="N457" s="114"/>
      <c r="O457" s="114"/>
    </row>
    <row r="458" spans="1:24" s="103" customFormat="1" ht="47.25" x14ac:dyDescent="0.25">
      <c r="A458" s="294" t="s">
        <v>881</v>
      </c>
      <c r="B458" s="509" t="s">
        <v>4</v>
      </c>
      <c r="C458" s="297" t="s">
        <v>29</v>
      </c>
      <c r="D458" s="409" t="s">
        <v>883</v>
      </c>
      <c r="E458" s="555"/>
      <c r="F458" s="575">
        <f>F459</f>
        <v>892</v>
      </c>
      <c r="G458" s="441"/>
      <c r="H458" s="460">
        <f t="shared" ref="H458:J460" si="77">H459</f>
        <v>2500</v>
      </c>
      <c r="I458" s="583"/>
      <c r="J458" s="575">
        <f t="shared" si="77"/>
        <v>0</v>
      </c>
      <c r="K458" s="441"/>
      <c r="L458" s="114"/>
      <c r="N458" s="114"/>
      <c r="O458" s="114"/>
    </row>
    <row r="459" spans="1:24" s="103" customFormat="1" ht="31.5" x14ac:dyDescent="0.25">
      <c r="A459" s="294" t="s">
        <v>882</v>
      </c>
      <c r="B459" s="509" t="s">
        <v>4</v>
      </c>
      <c r="C459" s="297" t="s">
        <v>29</v>
      </c>
      <c r="D459" s="409" t="s">
        <v>884</v>
      </c>
      <c r="E459" s="555"/>
      <c r="F459" s="575">
        <f>F460</f>
        <v>892</v>
      </c>
      <c r="G459" s="441"/>
      <c r="H459" s="460">
        <f t="shared" si="77"/>
        <v>2500</v>
      </c>
      <c r="I459" s="583"/>
      <c r="J459" s="575">
        <f t="shared" si="77"/>
        <v>0</v>
      </c>
      <c r="K459" s="441"/>
      <c r="L459" s="114"/>
      <c r="N459" s="114"/>
      <c r="O459" s="114"/>
    </row>
    <row r="460" spans="1:24" s="103" customFormat="1" x14ac:dyDescent="0.25">
      <c r="A460" s="294" t="s">
        <v>118</v>
      </c>
      <c r="B460" s="509" t="s">
        <v>4</v>
      </c>
      <c r="C460" s="297" t="s">
        <v>29</v>
      </c>
      <c r="D460" s="409" t="s">
        <v>884</v>
      </c>
      <c r="E460" s="555" t="s">
        <v>36</v>
      </c>
      <c r="F460" s="575">
        <f>F461</f>
        <v>892</v>
      </c>
      <c r="G460" s="441"/>
      <c r="H460" s="460">
        <f t="shared" si="77"/>
        <v>2500</v>
      </c>
      <c r="I460" s="583"/>
      <c r="J460" s="575">
        <f t="shared" si="77"/>
        <v>0</v>
      </c>
      <c r="K460" s="441"/>
      <c r="L460" s="114"/>
      <c r="N460" s="114"/>
      <c r="O460" s="114"/>
    </row>
    <row r="461" spans="1:24" s="103" customFormat="1" ht="31.5" x14ac:dyDescent="0.25">
      <c r="A461" s="294" t="s">
        <v>51</v>
      </c>
      <c r="B461" s="509" t="s">
        <v>4</v>
      </c>
      <c r="C461" s="297" t="s">
        <v>29</v>
      </c>
      <c r="D461" s="409" t="s">
        <v>884</v>
      </c>
      <c r="E461" s="555" t="s">
        <v>64</v>
      </c>
      <c r="F461" s="575">
        <f>'ведом. 2025-2027'!AD981</f>
        <v>892</v>
      </c>
      <c r="G461" s="441"/>
      <c r="H461" s="460">
        <f>'ведом. 2025-2027'!AE981</f>
        <v>2500</v>
      </c>
      <c r="I461" s="583"/>
      <c r="J461" s="575">
        <f>'ведом. 2025-2027'!AF981</f>
        <v>0</v>
      </c>
      <c r="K461" s="441"/>
      <c r="L461" s="114"/>
      <c r="N461" s="114"/>
      <c r="O461" s="114"/>
    </row>
    <row r="462" spans="1:24" s="115" customFormat="1" x14ac:dyDescent="0.25">
      <c r="A462" s="294" t="s">
        <v>654</v>
      </c>
      <c r="B462" s="132" t="s">
        <v>4</v>
      </c>
      <c r="C462" s="331" t="s">
        <v>29</v>
      </c>
      <c r="D462" s="409" t="s">
        <v>655</v>
      </c>
      <c r="E462" s="555"/>
      <c r="F462" s="575">
        <f>F463</f>
        <v>21773.8</v>
      </c>
      <c r="G462" s="441">
        <f>G463</f>
        <v>16500</v>
      </c>
      <c r="H462" s="460">
        <f>H463</f>
        <v>0</v>
      </c>
      <c r="I462" s="583"/>
      <c r="J462" s="575">
        <f>J463</f>
        <v>0</v>
      </c>
      <c r="K462" s="441"/>
      <c r="L462" s="114"/>
      <c r="N462" s="114"/>
      <c r="O462" s="114"/>
      <c r="R462" s="18"/>
      <c r="S462" s="144"/>
      <c r="T462" s="145"/>
      <c r="U462" s="145"/>
      <c r="V462" s="146"/>
      <c r="W462" s="146"/>
      <c r="X462" s="147"/>
    </row>
    <row r="463" spans="1:24" s="115" customFormat="1" ht="31.5" x14ac:dyDescent="0.25">
      <c r="A463" s="294" t="s">
        <v>657</v>
      </c>
      <c r="B463" s="132" t="s">
        <v>4</v>
      </c>
      <c r="C463" s="331" t="s">
        <v>29</v>
      </c>
      <c r="D463" s="409" t="s">
        <v>656</v>
      </c>
      <c r="E463" s="555"/>
      <c r="F463" s="575">
        <f>F467+F464</f>
        <v>21773.8</v>
      </c>
      <c r="G463" s="441">
        <f>G467+G464</f>
        <v>16500</v>
      </c>
      <c r="H463" s="460">
        <f>H467+H464</f>
        <v>0</v>
      </c>
      <c r="I463" s="583"/>
      <c r="J463" s="575">
        <f>J467+J464</f>
        <v>0</v>
      </c>
      <c r="K463" s="441"/>
      <c r="L463" s="114"/>
      <c r="N463" s="114"/>
      <c r="O463" s="114"/>
      <c r="R463" s="18"/>
      <c r="S463" s="144"/>
      <c r="T463" s="145"/>
      <c r="U463" s="145"/>
      <c r="V463" s="146"/>
      <c r="W463" s="146"/>
      <c r="X463" s="147"/>
    </row>
    <row r="464" spans="1:24" s="115" customFormat="1" ht="31.5" x14ac:dyDescent="0.25">
      <c r="A464" s="294" t="s">
        <v>826</v>
      </c>
      <c r="B464" s="509" t="s">
        <v>4</v>
      </c>
      <c r="C464" s="297" t="s">
        <v>29</v>
      </c>
      <c r="D464" s="409" t="s">
        <v>827</v>
      </c>
      <c r="E464" s="555"/>
      <c r="F464" s="575">
        <f>F465</f>
        <v>5273.8</v>
      </c>
      <c r="G464" s="441"/>
      <c r="H464" s="460">
        <f t="shared" ref="H464:J465" si="78">H465</f>
        <v>0</v>
      </c>
      <c r="I464" s="583"/>
      <c r="J464" s="575">
        <f t="shared" si="78"/>
        <v>0</v>
      </c>
      <c r="K464" s="441"/>
      <c r="L464" s="114"/>
      <c r="N464" s="114"/>
      <c r="O464" s="114"/>
      <c r="R464" s="18"/>
      <c r="S464" s="144"/>
      <c r="T464" s="145"/>
      <c r="U464" s="145"/>
      <c r="V464" s="146"/>
      <c r="W464" s="146"/>
      <c r="X464" s="147"/>
    </row>
    <row r="465" spans="1:24" s="115" customFormat="1" x14ac:dyDescent="0.25">
      <c r="A465" s="294" t="s">
        <v>118</v>
      </c>
      <c r="B465" s="509" t="s">
        <v>4</v>
      </c>
      <c r="C465" s="297" t="s">
        <v>29</v>
      </c>
      <c r="D465" s="409" t="s">
        <v>827</v>
      </c>
      <c r="E465" s="555" t="s">
        <v>36</v>
      </c>
      <c r="F465" s="575">
        <f>F466</f>
        <v>5273.8</v>
      </c>
      <c r="G465" s="441"/>
      <c r="H465" s="460">
        <f t="shared" si="78"/>
        <v>0</v>
      </c>
      <c r="I465" s="583"/>
      <c r="J465" s="575">
        <f t="shared" si="78"/>
        <v>0</v>
      </c>
      <c r="K465" s="441"/>
      <c r="L465" s="114"/>
      <c r="N465" s="114"/>
      <c r="O465" s="114"/>
      <c r="R465" s="18"/>
      <c r="S465" s="144"/>
      <c r="T465" s="145"/>
      <c r="U465" s="145"/>
      <c r="V465" s="146"/>
      <c r="W465" s="146"/>
      <c r="X465" s="147"/>
    </row>
    <row r="466" spans="1:24" s="115" customFormat="1" ht="31.5" x14ac:dyDescent="0.25">
      <c r="A466" s="294" t="s">
        <v>51</v>
      </c>
      <c r="B466" s="509" t="s">
        <v>4</v>
      </c>
      <c r="C466" s="297" t="s">
        <v>29</v>
      </c>
      <c r="D466" s="409" t="s">
        <v>827</v>
      </c>
      <c r="E466" s="555" t="s">
        <v>64</v>
      </c>
      <c r="F466" s="575">
        <f>'ведом. 2025-2027'!AD986</f>
        <v>5273.8</v>
      </c>
      <c r="G466" s="441"/>
      <c r="H466" s="460">
        <f>'ведом. 2025-2027'!AE986</f>
        <v>0</v>
      </c>
      <c r="I466" s="583"/>
      <c r="J466" s="575">
        <f>'ведом. 2025-2027'!AF986</f>
        <v>0</v>
      </c>
      <c r="K466" s="441"/>
      <c r="L466" s="114"/>
      <c r="N466" s="114"/>
      <c r="O466" s="114"/>
      <c r="R466" s="18"/>
      <c r="S466" s="144"/>
      <c r="T466" s="145"/>
      <c r="U466" s="145"/>
      <c r="V466" s="146"/>
      <c r="W466" s="146"/>
      <c r="X466" s="147"/>
    </row>
    <row r="467" spans="1:24" s="115" customFormat="1" x14ac:dyDescent="0.25">
      <c r="A467" s="294" t="s">
        <v>658</v>
      </c>
      <c r="B467" s="132" t="s">
        <v>4</v>
      </c>
      <c r="C467" s="331" t="s">
        <v>29</v>
      </c>
      <c r="D467" s="409" t="s">
        <v>659</v>
      </c>
      <c r="E467" s="555"/>
      <c r="F467" s="575">
        <f t="shared" ref="F467:H468" si="79">F468</f>
        <v>16500</v>
      </c>
      <c r="G467" s="441">
        <f t="shared" si="79"/>
        <v>16500</v>
      </c>
      <c r="H467" s="460">
        <f t="shared" si="79"/>
        <v>0</v>
      </c>
      <c r="I467" s="583"/>
      <c r="J467" s="575">
        <f>J468</f>
        <v>0</v>
      </c>
      <c r="K467" s="441"/>
      <c r="L467" s="114"/>
      <c r="N467" s="114"/>
      <c r="O467" s="114"/>
      <c r="R467" s="18"/>
      <c r="S467" s="144"/>
      <c r="T467" s="145"/>
      <c r="U467" s="145"/>
      <c r="V467" s="146"/>
      <c r="W467" s="146"/>
      <c r="X467" s="147"/>
    </row>
    <row r="468" spans="1:24" s="115" customFormat="1" x14ac:dyDescent="0.25">
      <c r="A468" s="255" t="s">
        <v>41</v>
      </c>
      <c r="B468" s="132" t="s">
        <v>4</v>
      </c>
      <c r="C468" s="331" t="s">
        <v>29</v>
      </c>
      <c r="D468" s="409" t="s">
        <v>659</v>
      </c>
      <c r="E468" s="207" t="s">
        <v>342</v>
      </c>
      <c r="F468" s="575">
        <f t="shared" si="79"/>
        <v>16500</v>
      </c>
      <c r="G468" s="441">
        <f t="shared" si="79"/>
        <v>16500</v>
      </c>
      <c r="H468" s="460">
        <f t="shared" si="79"/>
        <v>0</v>
      </c>
      <c r="I468" s="583"/>
      <c r="J468" s="575">
        <f>J469</f>
        <v>0</v>
      </c>
      <c r="K468" s="441"/>
      <c r="L468" s="114"/>
      <c r="N468" s="114"/>
      <c r="O468" s="114"/>
      <c r="R468" s="18"/>
      <c r="S468" s="144"/>
      <c r="T468" s="145"/>
      <c r="U468" s="145"/>
      <c r="V468" s="146"/>
      <c r="W468" s="146"/>
      <c r="X468" s="147"/>
    </row>
    <row r="469" spans="1:24" s="115" customFormat="1" ht="31.5" x14ac:dyDescent="0.25">
      <c r="A469" s="255" t="s">
        <v>119</v>
      </c>
      <c r="B469" s="132" t="s">
        <v>4</v>
      </c>
      <c r="C469" s="331" t="s">
        <v>29</v>
      </c>
      <c r="D469" s="409" t="s">
        <v>659</v>
      </c>
      <c r="E469" s="207" t="s">
        <v>343</v>
      </c>
      <c r="F469" s="575">
        <f>'ведом. 2025-2027'!AD303</f>
        <v>16500</v>
      </c>
      <c r="G469" s="441">
        <f>F469</f>
        <v>16500</v>
      </c>
      <c r="H469" s="460">
        <f>'ведом. 2025-2027'!AE303</f>
        <v>0</v>
      </c>
      <c r="I469" s="583"/>
      <c r="J469" s="575">
        <f>'ведом. 2025-2027'!AF303</f>
        <v>0</v>
      </c>
      <c r="K469" s="441"/>
      <c r="L469" s="114"/>
      <c r="N469" s="114"/>
      <c r="O469" s="114"/>
      <c r="R469" s="18"/>
      <c r="S469" s="144"/>
      <c r="T469" s="145"/>
      <c r="U469" s="145"/>
      <c r="V469" s="146"/>
      <c r="W469" s="146"/>
      <c r="X469" s="147"/>
    </row>
    <row r="470" spans="1:24" s="115" customFormat="1" x14ac:dyDescent="0.25">
      <c r="A470" s="299" t="s">
        <v>184</v>
      </c>
      <c r="B470" s="509" t="s">
        <v>4</v>
      </c>
      <c r="C470" s="297" t="s">
        <v>29</v>
      </c>
      <c r="D470" s="409" t="s">
        <v>110</v>
      </c>
      <c r="E470" s="552"/>
      <c r="F470" s="575">
        <f>F471</f>
        <v>106400</v>
      </c>
      <c r="G470" s="441"/>
      <c r="H470" s="460">
        <f>H471</f>
        <v>0</v>
      </c>
      <c r="I470" s="583"/>
      <c r="J470" s="575">
        <f>J471</f>
        <v>0</v>
      </c>
      <c r="K470" s="441"/>
      <c r="L470" s="114"/>
      <c r="N470" s="114"/>
      <c r="O470" s="114"/>
      <c r="R470" s="18"/>
      <c r="S470" s="144"/>
      <c r="T470" s="145"/>
      <c r="U470" s="145"/>
      <c r="V470" s="146"/>
      <c r="W470" s="146"/>
      <c r="X470" s="147"/>
    </row>
    <row r="471" spans="1:24" s="115" customFormat="1" x14ac:dyDescent="0.25">
      <c r="A471" s="294" t="s">
        <v>47</v>
      </c>
      <c r="B471" s="509" t="s">
        <v>4</v>
      </c>
      <c r="C471" s="297" t="s">
        <v>29</v>
      </c>
      <c r="D471" s="409" t="s">
        <v>188</v>
      </c>
      <c r="E471" s="552"/>
      <c r="F471" s="575">
        <f>F472</f>
        <v>106400</v>
      </c>
      <c r="G471" s="441"/>
      <c r="H471" s="460">
        <f>H472</f>
        <v>0</v>
      </c>
      <c r="I471" s="583"/>
      <c r="J471" s="575">
        <f>J472</f>
        <v>0</v>
      </c>
      <c r="K471" s="441"/>
      <c r="L471" s="114"/>
      <c r="N471" s="114"/>
      <c r="O471" s="114"/>
      <c r="R471" s="18"/>
      <c r="S471" s="144"/>
      <c r="T471" s="145"/>
      <c r="U471" s="145"/>
      <c r="V471" s="146"/>
      <c r="W471" s="146"/>
      <c r="X471" s="147"/>
    </row>
    <row r="472" spans="1:24" s="115" customFormat="1" ht="31.5" x14ac:dyDescent="0.25">
      <c r="A472" s="294" t="s">
        <v>323</v>
      </c>
      <c r="B472" s="509" t="s">
        <v>4</v>
      </c>
      <c r="C472" s="297" t="s">
        <v>29</v>
      </c>
      <c r="D472" s="409" t="s">
        <v>190</v>
      </c>
      <c r="E472" s="552"/>
      <c r="F472" s="575">
        <f>F473</f>
        <v>106400</v>
      </c>
      <c r="G472" s="441"/>
      <c r="H472" s="460">
        <f>H473</f>
        <v>0</v>
      </c>
      <c r="I472" s="583"/>
      <c r="J472" s="575">
        <f>J473</f>
        <v>0</v>
      </c>
      <c r="K472" s="441"/>
      <c r="L472" s="114"/>
      <c r="N472" s="114"/>
      <c r="O472" s="114"/>
      <c r="R472" s="18"/>
      <c r="S472" s="144"/>
      <c r="T472" s="145"/>
      <c r="U472" s="145"/>
      <c r="V472" s="146"/>
      <c r="W472" s="146"/>
      <c r="X472" s="147"/>
    </row>
    <row r="473" spans="1:24" s="115" customFormat="1" x14ac:dyDescent="0.25">
      <c r="A473" s="294" t="s">
        <v>802</v>
      </c>
      <c r="B473" s="509" t="s">
        <v>4</v>
      </c>
      <c r="C473" s="297" t="s">
        <v>29</v>
      </c>
      <c r="D473" s="409" t="s">
        <v>803</v>
      </c>
      <c r="E473" s="552"/>
      <c r="F473" s="575">
        <f>F474</f>
        <v>106400</v>
      </c>
      <c r="G473" s="441"/>
      <c r="H473" s="460">
        <f>H474</f>
        <v>0</v>
      </c>
      <c r="I473" s="583"/>
      <c r="J473" s="575">
        <f>J474</f>
        <v>0</v>
      </c>
      <c r="K473" s="441"/>
      <c r="L473" s="114"/>
      <c r="N473" s="114"/>
      <c r="O473" s="114"/>
      <c r="R473" s="18"/>
      <c r="S473" s="144"/>
      <c r="T473" s="145"/>
      <c r="U473" s="145"/>
      <c r="V473" s="146"/>
      <c r="W473" s="146"/>
      <c r="X473" s="147"/>
    </row>
    <row r="474" spans="1:24" s="115" customFormat="1" x14ac:dyDescent="0.25">
      <c r="A474" s="294" t="s">
        <v>41</v>
      </c>
      <c r="B474" s="509" t="s">
        <v>4</v>
      </c>
      <c r="C474" s="297" t="s">
        <v>29</v>
      </c>
      <c r="D474" s="409" t="s">
        <v>803</v>
      </c>
      <c r="E474" s="552">
        <v>800</v>
      </c>
      <c r="F474" s="575">
        <f>F475</f>
        <v>106400</v>
      </c>
      <c r="G474" s="441"/>
      <c r="H474" s="460">
        <f>H475</f>
        <v>0</v>
      </c>
      <c r="I474" s="583"/>
      <c r="J474" s="575">
        <f>J475</f>
        <v>0</v>
      </c>
      <c r="K474" s="441"/>
      <c r="L474" s="114"/>
      <c r="N474" s="114"/>
      <c r="O474" s="114"/>
      <c r="R474" s="18"/>
      <c r="S474" s="144"/>
      <c r="T474" s="145"/>
      <c r="U474" s="145"/>
      <c r="V474" s="146"/>
      <c r="W474" s="146"/>
      <c r="X474" s="147"/>
    </row>
    <row r="475" spans="1:24" s="115" customFormat="1" ht="31.5" x14ac:dyDescent="0.25">
      <c r="A475" s="294" t="s">
        <v>119</v>
      </c>
      <c r="B475" s="509" t="s">
        <v>4</v>
      </c>
      <c r="C475" s="297" t="s">
        <v>29</v>
      </c>
      <c r="D475" s="409" t="s">
        <v>803</v>
      </c>
      <c r="E475" s="552">
        <v>810</v>
      </c>
      <c r="F475" s="575">
        <f>'ведом. 2025-2027'!AD675</f>
        <v>106400</v>
      </c>
      <c r="G475" s="441"/>
      <c r="H475" s="460">
        <f>'ведом. 2025-2027'!AF675</f>
        <v>0</v>
      </c>
      <c r="I475" s="583"/>
      <c r="J475" s="575">
        <f>'ведом. 2025-2027'!AH675</f>
        <v>0</v>
      </c>
      <c r="K475" s="441"/>
      <c r="L475" s="114"/>
      <c r="N475" s="114"/>
      <c r="O475" s="114"/>
      <c r="R475" s="18"/>
      <c r="S475" s="144"/>
      <c r="T475" s="145"/>
      <c r="U475" s="145"/>
      <c r="V475" s="146"/>
      <c r="W475" s="146"/>
      <c r="X475" s="147"/>
    </row>
    <row r="476" spans="1:24" s="103" customFormat="1" x14ac:dyDescent="0.25">
      <c r="A476" s="299" t="s">
        <v>240</v>
      </c>
      <c r="B476" s="509" t="s">
        <v>4</v>
      </c>
      <c r="C476" s="297" t="s">
        <v>29</v>
      </c>
      <c r="D476" s="409" t="s">
        <v>241</v>
      </c>
      <c r="E476" s="555"/>
      <c r="F476" s="575">
        <f>F477</f>
        <v>593.1</v>
      </c>
      <c r="G476" s="441">
        <f t="shared" ref="G476:J480" si="80">G477</f>
        <v>485.1</v>
      </c>
      <c r="H476" s="460">
        <f t="shared" si="80"/>
        <v>1519.6</v>
      </c>
      <c r="I476" s="583">
        <f t="shared" si="80"/>
        <v>1247.5999999999999</v>
      </c>
      <c r="J476" s="575">
        <f t="shared" si="80"/>
        <v>0</v>
      </c>
      <c r="K476" s="441"/>
      <c r="L476" s="114"/>
      <c r="N476" s="114"/>
      <c r="O476" s="114"/>
    </row>
    <row r="477" spans="1:24" s="103" customFormat="1" ht="31.5" x14ac:dyDescent="0.25">
      <c r="A477" s="299" t="s">
        <v>535</v>
      </c>
      <c r="B477" s="509" t="s">
        <v>4</v>
      </c>
      <c r="C477" s="297" t="s">
        <v>29</v>
      </c>
      <c r="D477" s="409" t="s">
        <v>242</v>
      </c>
      <c r="E477" s="555"/>
      <c r="F477" s="575">
        <f>F478</f>
        <v>593.1</v>
      </c>
      <c r="G477" s="441">
        <f t="shared" si="80"/>
        <v>485.1</v>
      </c>
      <c r="H477" s="460">
        <f t="shared" si="80"/>
        <v>1519.6</v>
      </c>
      <c r="I477" s="583">
        <f t="shared" si="80"/>
        <v>1247.5999999999999</v>
      </c>
      <c r="J477" s="575">
        <f t="shared" si="80"/>
        <v>0</v>
      </c>
      <c r="K477" s="441"/>
      <c r="L477" s="114"/>
      <c r="N477" s="114"/>
      <c r="O477" s="114"/>
    </row>
    <row r="478" spans="1:24" s="103" customFormat="1" ht="31.5" x14ac:dyDescent="0.25">
      <c r="A478" s="307" t="s">
        <v>536</v>
      </c>
      <c r="B478" s="509" t="s">
        <v>4</v>
      </c>
      <c r="C478" s="297" t="s">
        <v>29</v>
      </c>
      <c r="D478" s="409" t="s">
        <v>243</v>
      </c>
      <c r="E478" s="555"/>
      <c r="F478" s="575">
        <f>F479</f>
        <v>593.1</v>
      </c>
      <c r="G478" s="441">
        <f t="shared" si="80"/>
        <v>485.1</v>
      </c>
      <c r="H478" s="460">
        <f t="shared" si="80"/>
        <v>1519.6</v>
      </c>
      <c r="I478" s="583">
        <f t="shared" si="80"/>
        <v>1247.5999999999999</v>
      </c>
      <c r="J478" s="575">
        <f t="shared" si="80"/>
        <v>0</v>
      </c>
      <c r="K478" s="441"/>
      <c r="L478" s="114"/>
      <c r="N478" s="114"/>
      <c r="O478" s="114"/>
    </row>
    <row r="479" spans="1:24" s="103" customFormat="1" x14ac:dyDescent="0.25">
      <c r="A479" s="294" t="s">
        <v>631</v>
      </c>
      <c r="B479" s="509" t="s">
        <v>4</v>
      </c>
      <c r="C479" s="297" t="s">
        <v>29</v>
      </c>
      <c r="D479" s="409" t="s">
        <v>632</v>
      </c>
      <c r="E479" s="555"/>
      <c r="F479" s="575">
        <f>F480</f>
        <v>593.1</v>
      </c>
      <c r="G479" s="441">
        <f t="shared" si="80"/>
        <v>485.1</v>
      </c>
      <c r="H479" s="460">
        <f t="shared" si="80"/>
        <v>1519.6</v>
      </c>
      <c r="I479" s="583">
        <f t="shared" si="80"/>
        <v>1247.5999999999999</v>
      </c>
      <c r="J479" s="575">
        <f t="shared" si="80"/>
        <v>0</v>
      </c>
      <c r="K479" s="441"/>
      <c r="L479" s="114"/>
      <c r="N479" s="114"/>
      <c r="O479" s="114"/>
    </row>
    <row r="480" spans="1:24" s="103" customFormat="1" x14ac:dyDescent="0.25">
      <c r="A480" s="294" t="s">
        <v>118</v>
      </c>
      <c r="B480" s="509" t="s">
        <v>4</v>
      </c>
      <c r="C480" s="297" t="s">
        <v>29</v>
      </c>
      <c r="D480" s="409" t="s">
        <v>632</v>
      </c>
      <c r="E480" s="555" t="s">
        <v>36</v>
      </c>
      <c r="F480" s="575">
        <f>F481</f>
        <v>593.1</v>
      </c>
      <c r="G480" s="441">
        <f t="shared" si="80"/>
        <v>485.1</v>
      </c>
      <c r="H480" s="460">
        <f t="shared" si="80"/>
        <v>1519.6</v>
      </c>
      <c r="I480" s="583">
        <f t="shared" si="80"/>
        <v>1247.5999999999999</v>
      </c>
      <c r="J480" s="575">
        <f t="shared" si="80"/>
        <v>0</v>
      </c>
      <c r="K480" s="441"/>
      <c r="L480" s="114"/>
      <c r="N480" s="114"/>
      <c r="O480" s="114"/>
    </row>
    <row r="481" spans="1:15" s="103" customFormat="1" ht="31.5" x14ac:dyDescent="0.25">
      <c r="A481" s="294" t="s">
        <v>51</v>
      </c>
      <c r="B481" s="509" t="s">
        <v>4</v>
      </c>
      <c r="C481" s="297" t="s">
        <v>29</v>
      </c>
      <c r="D481" s="409" t="s">
        <v>632</v>
      </c>
      <c r="E481" s="555" t="s">
        <v>64</v>
      </c>
      <c r="F481" s="575">
        <f>'ведом. 2025-2027'!AD992</f>
        <v>593.1</v>
      </c>
      <c r="G481" s="441">
        <f>485.1</f>
        <v>485.1</v>
      </c>
      <c r="H481" s="460">
        <f>'ведом. 2025-2027'!AE992</f>
        <v>1519.6</v>
      </c>
      <c r="I481" s="583">
        <v>1247.5999999999999</v>
      </c>
      <c r="J481" s="575">
        <f>'ведом. 2025-2027'!AF992</f>
        <v>0</v>
      </c>
      <c r="K481" s="441"/>
      <c r="L481" s="114"/>
      <c r="N481" s="114"/>
      <c r="O481" s="114"/>
    </row>
    <row r="482" spans="1:15" s="103" customFormat="1" x14ac:dyDescent="0.25">
      <c r="A482" s="252" t="s">
        <v>17</v>
      </c>
      <c r="B482" s="132" t="s">
        <v>4</v>
      </c>
      <c r="C482" s="331" t="s">
        <v>6</v>
      </c>
      <c r="D482" s="228"/>
      <c r="E482" s="207"/>
      <c r="F482" s="575">
        <f t="shared" ref="F482:K482" si="81">F515+F503+F483+F509+F496</f>
        <v>894502.3</v>
      </c>
      <c r="G482" s="441">
        <f t="shared" si="81"/>
        <v>309917.2</v>
      </c>
      <c r="H482" s="460">
        <f t="shared" si="81"/>
        <v>413974.4</v>
      </c>
      <c r="I482" s="583">
        <f t="shared" si="81"/>
        <v>13931.9</v>
      </c>
      <c r="J482" s="575">
        <f t="shared" si="81"/>
        <v>691441.2</v>
      </c>
      <c r="K482" s="441">
        <f t="shared" si="81"/>
        <v>199026.8</v>
      </c>
      <c r="L482" s="114"/>
      <c r="N482" s="114"/>
      <c r="O482" s="114"/>
    </row>
    <row r="483" spans="1:15" s="103" customFormat="1" ht="31.5" x14ac:dyDescent="0.25">
      <c r="A483" s="182" t="s">
        <v>159</v>
      </c>
      <c r="B483" s="132" t="s">
        <v>4</v>
      </c>
      <c r="C483" s="331" t="s">
        <v>6</v>
      </c>
      <c r="D483" s="21" t="s">
        <v>100</v>
      </c>
      <c r="E483" s="207"/>
      <c r="F483" s="575">
        <f>F484</f>
        <v>20879.8</v>
      </c>
      <c r="G483" s="441"/>
      <c r="H483" s="460">
        <f>H484</f>
        <v>4741</v>
      </c>
      <c r="I483" s="583"/>
      <c r="J483" s="575">
        <f>J484</f>
        <v>4741</v>
      </c>
      <c r="K483" s="441"/>
      <c r="L483" s="114"/>
      <c r="N483" s="114"/>
      <c r="O483" s="114"/>
    </row>
    <row r="484" spans="1:15" s="103" customFormat="1" x14ac:dyDescent="0.25">
      <c r="A484" s="185" t="s">
        <v>160</v>
      </c>
      <c r="B484" s="132" t="s">
        <v>4</v>
      </c>
      <c r="C484" s="331" t="s">
        <v>6</v>
      </c>
      <c r="D484" s="21" t="s">
        <v>104</v>
      </c>
      <c r="E484" s="207"/>
      <c r="F484" s="575">
        <f>F485+F489</f>
        <v>20879.8</v>
      </c>
      <c r="G484" s="441"/>
      <c r="H484" s="460">
        <f>H485+H489</f>
        <v>4741</v>
      </c>
      <c r="I484" s="583"/>
      <c r="J484" s="575">
        <f>J485+J489</f>
        <v>4741</v>
      </c>
      <c r="K484" s="441"/>
      <c r="L484" s="114"/>
      <c r="N484" s="114"/>
      <c r="O484" s="114"/>
    </row>
    <row r="485" spans="1:15" s="103" customFormat="1" x14ac:dyDescent="0.25">
      <c r="A485" s="197" t="s">
        <v>523</v>
      </c>
      <c r="B485" s="132" t="s">
        <v>4</v>
      </c>
      <c r="C485" s="331" t="s">
        <v>6</v>
      </c>
      <c r="D485" s="21" t="s">
        <v>331</v>
      </c>
      <c r="E485" s="207"/>
      <c r="F485" s="575">
        <f>F486</f>
        <v>12913.5</v>
      </c>
      <c r="G485" s="441"/>
      <c r="H485" s="460">
        <f>H486</f>
        <v>1320</v>
      </c>
      <c r="I485" s="583"/>
      <c r="J485" s="575">
        <f>J486</f>
        <v>0</v>
      </c>
      <c r="K485" s="441"/>
      <c r="L485" s="114"/>
      <c r="N485" s="114"/>
      <c r="O485" s="114"/>
    </row>
    <row r="486" spans="1:15" s="103" customFormat="1" x14ac:dyDescent="0.25">
      <c r="A486" s="184" t="s">
        <v>246</v>
      </c>
      <c r="B486" s="132" t="s">
        <v>4</v>
      </c>
      <c r="C486" s="331" t="s">
        <v>6</v>
      </c>
      <c r="D486" s="21" t="s">
        <v>351</v>
      </c>
      <c r="E486" s="207"/>
      <c r="F486" s="575">
        <f>F487</f>
        <v>12913.5</v>
      </c>
      <c r="G486" s="441"/>
      <c r="H486" s="460">
        <f>H487</f>
        <v>1320</v>
      </c>
      <c r="I486" s="583"/>
      <c r="J486" s="575">
        <f>J487</f>
        <v>0</v>
      </c>
      <c r="K486" s="441"/>
      <c r="L486" s="114"/>
      <c r="N486" s="114"/>
      <c r="O486" s="114"/>
    </row>
    <row r="487" spans="1:15" s="103" customFormat="1" x14ac:dyDescent="0.25">
      <c r="A487" s="255" t="s">
        <v>118</v>
      </c>
      <c r="B487" s="132" t="s">
        <v>4</v>
      </c>
      <c r="C487" s="331" t="s">
        <v>6</v>
      </c>
      <c r="D487" s="21" t="s">
        <v>351</v>
      </c>
      <c r="E487" s="207" t="s">
        <v>36</v>
      </c>
      <c r="F487" s="575">
        <f>F488</f>
        <v>12913.5</v>
      </c>
      <c r="G487" s="441"/>
      <c r="H487" s="460">
        <f>H488</f>
        <v>1320</v>
      </c>
      <c r="I487" s="583"/>
      <c r="J487" s="575">
        <f>J488</f>
        <v>0</v>
      </c>
      <c r="K487" s="441"/>
      <c r="L487" s="114"/>
      <c r="N487" s="114"/>
      <c r="O487" s="114"/>
    </row>
    <row r="488" spans="1:15" s="103" customFormat="1" ht="31.5" x14ac:dyDescent="0.25">
      <c r="A488" s="255" t="s">
        <v>51</v>
      </c>
      <c r="B488" s="132" t="s">
        <v>4</v>
      </c>
      <c r="C488" s="331" t="s">
        <v>6</v>
      </c>
      <c r="D488" s="21" t="s">
        <v>332</v>
      </c>
      <c r="E488" s="207" t="s">
        <v>64</v>
      </c>
      <c r="F488" s="575">
        <f>'ведом. 2025-2027'!AD310</f>
        <v>12913.5</v>
      </c>
      <c r="G488" s="441"/>
      <c r="H488" s="460">
        <f>'ведом. 2025-2027'!AE310</f>
        <v>1320</v>
      </c>
      <c r="I488" s="583"/>
      <c r="J488" s="575">
        <f>'ведом. 2025-2027'!AF310</f>
        <v>0</v>
      </c>
      <c r="K488" s="441"/>
      <c r="L488" s="114"/>
      <c r="N488" s="114"/>
      <c r="O488" s="114"/>
    </row>
    <row r="489" spans="1:15" s="103" customFormat="1" ht="31.5" x14ac:dyDescent="0.25">
      <c r="A489" s="184" t="s">
        <v>245</v>
      </c>
      <c r="B489" s="132" t="s">
        <v>4</v>
      </c>
      <c r="C489" s="331" t="s">
        <v>6</v>
      </c>
      <c r="D489" s="21" t="s">
        <v>333</v>
      </c>
      <c r="E489" s="207"/>
      <c r="F489" s="575">
        <f>F490+F492+F494</f>
        <v>7966.3</v>
      </c>
      <c r="G489" s="441"/>
      <c r="H489" s="460">
        <f>H490+H492</f>
        <v>3421</v>
      </c>
      <c r="I489" s="583"/>
      <c r="J489" s="575">
        <f>J490+J492</f>
        <v>4741</v>
      </c>
      <c r="K489" s="441"/>
      <c r="L489" s="114"/>
      <c r="N489" s="114"/>
      <c r="O489" s="114"/>
    </row>
    <row r="490" spans="1:15" s="103" customFormat="1" ht="47.25" x14ac:dyDescent="0.25">
      <c r="A490" s="255" t="s">
        <v>40</v>
      </c>
      <c r="B490" s="132" t="s">
        <v>4</v>
      </c>
      <c r="C490" s="331" t="s">
        <v>6</v>
      </c>
      <c r="D490" s="21" t="s">
        <v>333</v>
      </c>
      <c r="E490" s="207" t="s">
        <v>125</v>
      </c>
      <c r="F490" s="575">
        <f>F491</f>
        <v>7268.5</v>
      </c>
      <c r="G490" s="441"/>
      <c r="H490" s="460">
        <f>H491</f>
        <v>2521.6</v>
      </c>
      <c r="I490" s="583"/>
      <c r="J490" s="575">
        <f>J491</f>
        <v>3841.6</v>
      </c>
      <c r="K490" s="441"/>
      <c r="L490" s="114"/>
      <c r="N490" s="114"/>
      <c r="O490" s="114"/>
    </row>
    <row r="491" spans="1:15" s="103" customFormat="1" x14ac:dyDescent="0.25">
      <c r="A491" s="255" t="s">
        <v>67</v>
      </c>
      <c r="B491" s="132" t="s">
        <v>4</v>
      </c>
      <c r="C491" s="331" t="s">
        <v>6</v>
      </c>
      <c r="D491" s="21" t="s">
        <v>333</v>
      </c>
      <c r="E491" s="207" t="s">
        <v>126</v>
      </c>
      <c r="F491" s="575">
        <f>'ведом. 2025-2027'!AD313</f>
        <v>7268.5</v>
      </c>
      <c r="G491" s="441"/>
      <c r="H491" s="460">
        <f>'ведом. 2025-2027'!AE313</f>
        <v>2521.6</v>
      </c>
      <c r="I491" s="583"/>
      <c r="J491" s="575">
        <f>'ведом. 2025-2027'!AF313</f>
        <v>3841.6</v>
      </c>
      <c r="K491" s="441"/>
      <c r="L491" s="114"/>
      <c r="N491" s="114"/>
      <c r="O491" s="114"/>
    </row>
    <row r="492" spans="1:15" s="103" customFormat="1" x14ac:dyDescent="0.25">
      <c r="A492" s="255" t="s">
        <v>118</v>
      </c>
      <c r="B492" s="132" t="s">
        <v>4</v>
      </c>
      <c r="C492" s="331" t="s">
        <v>6</v>
      </c>
      <c r="D492" s="21" t="s">
        <v>333</v>
      </c>
      <c r="E492" s="207" t="s">
        <v>36</v>
      </c>
      <c r="F492" s="575">
        <f>F493</f>
        <v>696.3</v>
      </c>
      <c r="G492" s="441"/>
      <c r="H492" s="460">
        <f>H493</f>
        <v>899.4</v>
      </c>
      <c r="I492" s="583"/>
      <c r="J492" s="575">
        <f>J493</f>
        <v>899.4</v>
      </c>
      <c r="K492" s="441"/>
      <c r="L492" s="114"/>
      <c r="N492" s="114"/>
      <c r="O492" s="114"/>
    </row>
    <row r="493" spans="1:15" s="103" customFormat="1" ht="31.5" x14ac:dyDescent="0.25">
      <c r="A493" s="255" t="s">
        <v>51</v>
      </c>
      <c r="B493" s="132" t="s">
        <v>4</v>
      </c>
      <c r="C493" s="331" t="s">
        <v>6</v>
      </c>
      <c r="D493" s="21" t="s">
        <v>333</v>
      </c>
      <c r="E493" s="207" t="s">
        <v>64</v>
      </c>
      <c r="F493" s="575">
        <f>'ведом. 2025-2027'!AD315</f>
        <v>696.3</v>
      </c>
      <c r="G493" s="441"/>
      <c r="H493" s="460">
        <f>'ведом. 2025-2027'!AE315</f>
        <v>899.4</v>
      </c>
      <c r="I493" s="583"/>
      <c r="J493" s="575">
        <f>'ведом. 2025-2027'!AF315</f>
        <v>899.4</v>
      </c>
      <c r="K493" s="441"/>
      <c r="L493" s="114"/>
      <c r="N493" s="114"/>
      <c r="O493" s="114"/>
    </row>
    <row r="494" spans="1:15" s="103" customFormat="1" x14ac:dyDescent="0.25">
      <c r="A494" s="294" t="s">
        <v>41</v>
      </c>
      <c r="B494" s="509" t="s">
        <v>4</v>
      </c>
      <c r="C494" s="297" t="s">
        <v>6</v>
      </c>
      <c r="D494" s="412" t="s">
        <v>333</v>
      </c>
      <c r="E494" s="555" t="s">
        <v>342</v>
      </c>
      <c r="F494" s="575">
        <f>F495</f>
        <v>1.5</v>
      </c>
      <c r="G494" s="441"/>
      <c r="H494" s="460">
        <f>H495</f>
        <v>0</v>
      </c>
      <c r="I494" s="583"/>
      <c r="J494" s="575">
        <f>J495</f>
        <v>0</v>
      </c>
      <c r="K494" s="441"/>
      <c r="L494" s="114"/>
      <c r="N494" s="114"/>
      <c r="O494" s="114"/>
    </row>
    <row r="495" spans="1:15" s="103" customFormat="1" x14ac:dyDescent="0.25">
      <c r="A495" s="294" t="s">
        <v>56</v>
      </c>
      <c r="B495" s="509" t="s">
        <v>4</v>
      </c>
      <c r="C495" s="297" t="s">
        <v>6</v>
      </c>
      <c r="D495" s="412" t="s">
        <v>333</v>
      </c>
      <c r="E495" s="555" t="s">
        <v>805</v>
      </c>
      <c r="F495" s="575">
        <f>'ведом. 2025-2027'!AD317</f>
        <v>1.5</v>
      </c>
      <c r="G495" s="441"/>
      <c r="H495" s="460">
        <f>'ведом. 2025-2027'!AE317</f>
        <v>0</v>
      </c>
      <c r="I495" s="583"/>
      <c r="J495" s="575">
        <f>'ведом. 2025-2027'!AF317</f>
        <v>0</v>
      </c>
      <c r="K495" s="441"/>
      <c r="L495" s="114"/>
      <c r="N495" s="114"/>
      <c r="O495" s="114"/>
    </row>
    <row r="496" spans="1:15" s="103" customFormat="1" x14ac:dyDescent="0.25">
      <c r="A496" s="182" t="s">
        <v>184</v>
      </c>
      <c r="B496" s="509" t="s">
        <v>4</v>
      </c>
      <c r="C496" s="297" t="s">
        <v>6</v>
      </c>
      <c r="D496" s="503" t="s">
        <v>110</v>
      </c>
      <c r="E496" s="555"/>
      <c r="F496" s="576">
        <f t="shared" ref="F496:F501" si="82">F497</f>
        <v>219</v>
      </c>
      <c r="G496" s="438"/>
      <c r="H496" s="459">
        <f t="shared" ref="H496:H501" si="83">H497</f>
        <v>0</v>
      </c>
      <c r="I496" s="584"/>
      <c r="J496" s="576">
        <f t="shared" ref="J496:J501" si="84">J497</f>
        <v>0</v>
      </c>
      <c r="K496" s="441"/>
      <c r="L496" s="114"/>
      <c r="N496" s="114"/>
      <c r="O496" s="114"/>
    </row>
    <row r="497" spans="1:15" s="103" customFormat="1" x14ac:dyDescent="0.25">
      <c r="A497" s="299" t="s">
        <v>187</v>
      </c>
      <c r="B497" s="509" t="s">
        <v>4</v>
      </c>
      <c r="C497" s="297" t="s">
        <v>6</v>
      </c>
      <c r="D497" s="409" t="s">
        <v>188</v>
      </c>
      <c r="E497" s="555"/>
      <c r="F497" s="576">
        <f t="shared" si="82"/>
        <v>219</v>
      </c>
      <c r="G497" s="438"/>
      <c r="H497" s="459">
        <f t="shared" si="83"/>
        <v>0</v>
      </c>
      <c r="I497" s="584"/>
      <c r="J497" s="576">
        <f t="shared" si="84"/>
        <v>0</v>
      </c>
      <c r="K497" s="441"/>
      <c r="L497" s="114"/>
      <c r="N497" s="114"/>
      <c r="O497" s="114"/>
    </row>
    <row r="498" spans="1:15" s="103" customFormat="1" ht="31.5" x14ac:dyDescent="0.25">
      <c r="A498" s="294" t="s">
        <v>529</v>
      </c>
      <c r="B498" s="509" t="s">
        <v>4</v>
      </c>
      <c r="C498" s="297" t="s">
        <v>6</v>
      </c>
      <c r="D498" s="503" t="s">
        <v>530</v>
      </c>
      <c r="E498" s="555"/>
      <c r="F498" s="576">
        <f t="shared" si="82"/>
        <v>219</v>
      </c>
      <c r="G498" s="438"/>
      <c r="H498" s="459">
        <f t="shared" si="83"/>
        <v>0</v>
      </c>
      <c r="I498" s="584"/>
      <c r="J498" s="576">
        <f t="shared" si="84"/>
        <v>0</v>
      </c>
      <c r="K498" s="441"/>
      <c r="L498" s="114"/>
      <c r="N498" s="114"/>
      <c r="O498" s="114"/>
    </row>
    <row r="499" spans="1:15" s="103" customFormat="1" ht="31.5" x14ac:dyDescent="0.25">
      <c r="A499" s="294" t="s">
        <v>529</v>
      </c>
      <c r="B499" s="509" t="s">
        <v>4</v>
      </c>
      <c r="C499" s="297" t="s">
        <v>6</v>
      </c>
      <c r="D499" s="503" t="s">
        <v>530</v>
      </c>
      <c r="E499" s="552"/>
      <c r="F499" s="576">
        <f t="shared" si="82"/>
        <v>219</v>
      </c>
      <c r="G499" s="438"/>
      <c r="H499" s="459">
        <f t="shared" si="83"/>
        <v>0</v>
      </c>
      <c r="I499" s="584"/>
      <c r="J499" s="576">
        <f t="shared" si="84"/>
        <v>0</v>
      </c>
      <c r="K499" s="441"/>
      <c r="L499" s="114"/>
      <c r="N499" s="114"/>
      <c r="O499" s="114"/>
    </row>
    <row r="500" spans="1:15" s="103" customFormat="1" ht="78.75" x14ac:dyDescent="0.25">
      <c r="A500" s="294" t="s">
        <v>401</v>
      </c>
      <c r="B500" s="509" t="s">
        <v>4</v>
      </c>
      <c r="C500" s="297" t="s">
        <v>6</v>
      </c>
      <c r="D500" s="409" t="s">
        <v>531</v>
      </c>
      <c r="E500" s="552"/>
      <c r="F500" s="576">
        <f t="shared" si="82"/>
        <v>219</v>
      </c>
      <c r="G500" s="438"/>
      <c r="H500" s="459">
        <f t="shared" si="83"/>
        <v>0</v>
      </c>
      <c r="I500" s="584"/>
      <c r="J500" s="576">
        <f t="shared" si="84"/>
        <v>0</v>
      </c>
      <c r="K500" s="441"/>
      <c r="L500" s="114"/>
      <c r="N500" s="114"/>
      <c r="O500" s="114"/>
    </row>
    <row r="501" spans="1:15" s="103" customFormat="1" x14ac:dyDescent="0.25">
      <c r="A501" s="294" t="s">
        <v>118</v>
      </c>
      <c r="B501" s="509" t="s">
        <v>4</v>
      </c>
      <c r="C501" s="297" t="s">
        <v>6</v>
      </c>
      <c r="D501" s="409" t="s">
        <v>531</v>
      </c>
      <c r="E501" s="552">
        <v>200</v>
      </c>
      <c r="F501" s="576">
        <f t="shared" si="82"/>
        <v>219</v>
      </c>
      <c r="G501" s="438"/>
      <c r="H501" s="459">
        <f t="shared" si="83"/>
        <v>0</v>
      </c>
      <c r="I501" s="584"/>
      <c r="J501" s="576">
        <f t="shared" si="84"/>
        <v>0</v>
      </c>
      <c r="K501" s="441"/>
      <c r="L501" s="114"/>
      <c r="N501" s="114"/>
      <c r="O501" s="114"/>
    </row>
    <row r="502" spans="1:15" s="103" customFormat="1" ht="31.5" x14ac:dyDescent="0.25">
      <c r="A502" s="294" t="s">
        <v>51</v>
      </c>
      <c r="B502" s="509" t="s">
        <v>4</v>
      </c>
      <c r="C502" s="297" t="s">
        <v>6</v>
      </c>
      <c r="D502" s="409" t="s">
        <v>531</v>
      </c>
      <c r="E502" s="552">
        <v>240</v>
      </c>
      <c r="F502" s="576">
        <f>'ведом. 2025-2027'!AD324</f>
        <v>219</v>
      </c>
      <c r="G502" s="438"/>
      <c r="H502" s="459">
        <f>'ведом. 2025-2027'!AE324</f>
        <v>0</v>
      </c>
      <c r="I502" s="583"/>
      <c r="J502" s="575">
        <f>'ведом. 2025-2027'!AF324</f>
        <v>0</v>
      </c>
      <c r="K502" s="441"/>
      <c r="L502" s="114"/>
      <c r="N502" s="114"/>
      <c r="O502" s="114"/>
    </row>
    <row r="503" spans="1:15" s="103" customFormat="1" ht="31.5" x14ac:dyDescent="0.25">
      <c r="A503" s="182" t="s">
        <v>296</v>
      </c>
      <c r="B503" s="132" t="s">
        <v>4</v>
      </c>
      <c r="C503" s="331" t="s">
        <v>6</v>
      </c>
      <c r="D503" s="116" t="s">
        <v>130</v>
      </c>
      <c r="E503" s="207"/>
      <c r="F503" s="575">
        <f>F504</f>
        <v>1744</v>
      </c>
      <c r="G503" s="441"/>
      <c r="H503" s="460">
        <f>H504</f>
        <v>1365</v>
      </c>
      <c r="I503" s="583"/>
      <c r="J503" s="575">
        <f>J504</f>
        <v>0</v>
      </c>
      <c r="K503" s="441"/>
      <c r="L503" s="114"/>
      <c r="N503" s="114"/>
      <c r="O503" s="114"/>
    </row>
    <row r="504" spans="1:15" s="103" customFormat="1" ht="47.25" x14ac:dyDescent="0.25">
      <c r="A504" s="182" t="s">
        <v>297</v>
      </c>
      <c r="B504" s="132" t="s">
        <v>4</v>
      </c>
      <c r="C504" s="331" t="s">
        <v>6</v>
      </c>
      <c r="D504" s="116" t="s">
        <v>298</v>
      </c>
      <c r="E504" s="334"/>
      <c r="F504" s="575">
        <f>F505</f>
        <v>1744</v>
      </c>
      <c r="G504" s="441"/>
      <c r="H504" s="460">
        <f>H505</f>
        <v>1365</v>
      </c>
      <c r="I504" s="583"/>
      <c r="J504" s="575">
        <f>J505</f>
        <v>0</v>
      </c>
      <c r="K504" s="441"/>
      <c r="L504" s="114"/>
      <c r="N504" s="114"/>
      <c r="O504" s="114"/>
    </row>
    <row r="505" spans="1:15" s="103" customFormat="1" ht="31.5" x14ac:dyDescent="0.25">
      <c r="A505" s="183" t="s">
        <v>302</v>
      </c>
      <c r="B505" s="132" t="s">
        <v>4</v>
      </c>
      <c r="C505" s="331" t="s">
        <v>6</v>
      </c>
      <c r="D505" s="116" t="s">
        <v>303</v>
      </c>
      <c r="E505" s="334"/>
      <c r="F505" s="575">
        <f>F506</f>
        <v>1744</v>
      </c>
      <c r="G505" s="441"/>
      <c r="H505" s="460">
        <f>H506</f>
        <v>1365</v>
      </c>
      <c r="I505" s="583"/>
      <c r="J505" s="575">
        <f>J506</f>
        <v>0</v>
      </c>
      <c r="K505" s="441"/>
      <c r="L505" s="114"/>
      <c r="N505" s="114"/>
      <c r="O505" s="114"/>
    </row>
    <row r="506" spans="1:15" s="103" customFormat="1" ht="47.25" x14ac:dyDescent="0.25">
      <c r="A506" s="197" t="s">
        <v>347</v>
      </c>
      <c r="B506" s="132" t="s">
        <v>4</v>
      </c>
      <c r="C506" s="331" t="s">
        <v>6</v>
      </c>
      <c r="D506" s="116" t="s">
        <v>304</v>
      </c>
      <c r="E506" s="334"/>
      <c r="F506" s="575">
        <f>F507</f>
        <v>1744</v>
      </c>
      <c r="G506" s="441"/>
      <c r="H506" s="460">
        <f>H507</f>
        <v>1365</v>
      </c>
      <c r="I506" s="583"/>
      <c r="J506" s="575">
        <f>J507</f>
        <v>0</v>
      </c>
      <c r="K506" s="441"/>
      <c r="L506" s="114"/>
      <c r="N506" s="114"/>
      <c r="O506" s="114"/>
    </row>
    <row r="507" spans="1:15" s="103" customFormat="1" x14ac:dyDescent="0.25">
      <c r="A507" s="252" t="s">
        <v>118</v>
      </c>
      <c r="B507" s="132" t="s">
        <v>4</v>
      </c>
      <c r="C507" s="331" t="s">
        <v>6</v>
      </c>
      <c r="D507" s="116" t="s">
        <v>304</v>
      </c>
      <c r="E507" s="334">
        <v>200</v>
      </c>
      <c r="F507" s="575">
        <f>F508</f>
        <v>1744</v>
      </c>
      <c r="G507" s="441"/>
      <c r="H507" s="460">
        <f>H508</f>
        <v>1365</v>
      </c>
      <c r="I507" s="583"/>
      <c r="J507" s="575">
        <f>J508</f>
        <v>0</v>
      </c>
      <c r="K507" s="441"/>
      <c r="L507" s="114"/>
      <c r="N507" s="114"/>
      <c r="O507" s="114"/>
    </row>
    <row r="508" spans="1:15" s="103" customFormat="1" ht="31.5" x14ac:dyDescent="0.25">
      <c r="A508" s="252" t="s">
        <v>51</v>
      </c>
      <c r="B508" s="132" t="s">
        <v>4</v>
      </c>
      <c r="C508" s="331" t="s">
        <v>6</v>
      </c>
      <c r="D508" s="116" t="s">
        <v>304</v>
      </c>
      <c r="E508" s="334">
        <v>240</v>
      </c>
      <c r="F508" s="575">
        <f>'ведом. 2025-2027'!AD330</f>
        <v>1744</v>
      </c>
      <c r="G508" s="441"/>
      <c r="H508" s="460">
        <f>'ведом. 2025-2027'!AE330</f>
        <v>1365</v>
      </c>
      <c r="I508" s="583"/>
      <c r="J508" s="575">
        <f>'ведом. 2025-2027'!AF330</f>
        <v>0</v>
      </c>
      <c r="K508" s="441"/>
      <c r="L508" s="114"/>
      <c r="N508" s="114"/>
      <c r="O508" s="114"/>
    </row>
    <row r="509" spans="1:15" s="103" customFormat="1" x14ac:dyDescent="0.25">
      <c r="A509" s="196" t="s">
        <v>247</v>
      </c>
      <c r="B509" s="132" t="s">
        <v>4</v>
      </c>
      <c r="C509" s="331" t="s">
        <v>6</v>
      </c>
      <c r="D509" s="116" t="s">
        <v>248</v>
      </c>
      <c r="E509" s="563"/>
      <c r="F509" s="575">
        <f>F510</f>
        <v>0</v>
      </c>
      <c r="G509" s="441"/>
      <c r="H509" s="460">
        <f t="shared" ref="H509:J513" si="85">H510</f>
        <v>210</v>
      </c>
      <c r="I509" s="583"/>
      <c r="J509" s="575">
        <f t="shared" si="85"/>
        <v>0</v>
      </c>
      <c r="K509" s="441"/>
      <c r="L509" s="114"/>
      <c r="N509" s="114"/>
      <c r="O509" s="114"/>
    </row>
    <row r="510" spans="1:15" s="103" customFormat="1" ht="24" customHeight="1" x14ac:dyDescent="0.25">
      <c r="A510" s="196" t="s">
        <v>759</v>
      </c>
      <c r="B510" s="132" t="s">
        <v>4</v>
      </c>
      <c r="C510" s="331" t="s">
        <v>6</v>
      </c>
      <c r="D510" s="116" t="s">
        <v>249</v>
      </c>
      <c r="E510" s="205"/>
      <c r="F510" s="575">
        <f>F511</f>
        <v>0</v>
      </c>
      <c r="G510" s="441"/>
      <c r="H510" s="460">
        <f t="shared" si="85"/>
        <v>210</v>
      </c>
      <c r="I510" s="583"/>
      <c r="J510" s="575">
        <f t="shared" si="85"/>
        <v>0</v>
      </c>
      <c r="K510" s="441"/>
      <c r="L510" s="114"/>
      <c r="N510" s="114"/>
      <c r="O510" s="114"/>
    </row>
    <row r="511" spans="1:15" s="103" customFormat="1" ht="38.25" customHeight="1" x14ac:dyDescent="0.25">
      <c r="A511" s="196" t="s">
        <v>772</v>
      </c>
      <c r="B511" s="132" t="s">
        <v>4</v>
      </c>
      <c r="C511" s="331" t="s">
        <v>6</v>
      </c>
      <c r="D511" s="116" t="s">
        <v>607</v>
      </c>
      <c r="E511" s="334"/>
      <c r="F511" s="575">
        <f>F512</f>
        <v>0</v>
      </c>
      <c r="G511" s="441"/>
      <c r="H511" s="460">
        <f t="shared" si="85"/>
        <v>210</v>
      </c>
      <c r="I511" s="583"/>
      <c r="J511" s="575">
        <f t="shared" si="85"/>
        <v>0</v>
      </c>
      <c r="K511" s="441"/>
      <c r="L511" s="114"/>
      <c r="N511" s="114"/>
      <c r="O511" s="114"/>
    </row>
    <row r="512" spans="1:15" s="103" customFormat="1" ht="31.5" x14ac:dyDescent="0.25">
      <c r="A512" s="182" t="s">
        <v>609</v>
      </c>
      <c r="B512" s="132" t="s">
        <v>4</v>
      </c>
      <c r="C512" s="331" t="s">
        <v>6</v>
      </c>
      <c r="D512" s="116" t="s">
        <v>608</v>
      </c>
      <c r="E512" s="334"/>
      <c r="F512" s="575">
        <f>F513</f>
        <v>0</v>
      </c>
      <c r="G512" s="441"/>
      <c r="H512" s="460">
        <f t="shared" si="85"/>
        <v>210</v>
      </c>
      <c r="I512" s="583"/>
      <c r="J512" s="575">
        <f t="shared" si="85"/>
        <v>0</v>
      </c>
      <c r="K512" s="441"/>
      <c r="L512" s="114"/>
      <c r="N512" s="114"/>
      <c r="O512" s="114"/>
    </row>
    <row r="513" spans="1:15" s="103" customFormat="1" x14ac:dyDescent="0.25">
      <c r="A513" s="198" t="s">
        <v>118</v>
      </c>
      <c r="B513" s="132" t="s">
        <v>4</v>
      </c>
      <c r="C513" s="331" t="s">
        <v>6</v>
      </c>
      <c r="D513" s="116" t="s">
        <v>608</v>
      </c>
      <c r="E513" s="334">
        <v>200</v>
      </c>
      <c r="F513" s="575">
        <f>F514</f>
        <v>0</v>
      </c>
      <c r="G513" s="441"/>
      <c r="H513" s="460">
        <f t="shared" si="85"/>
        <v>210</v>
      </c>
      <c r="I513" s="583"/>
      <c r="J513" s="575">
        <f t="shared" si="85"/>
        <v>0</v>
      </c>
      <c r="K513" s="441"/>
      <c r="L513" s="114"/>
      <c r="N513" s="114"/>
      <c r="O513" s="114"/>
    </row>
    <row r="514" spans="1:15" s="103" customFormat="1" ht="31.5" x14ac:dyDescent="0.25">
      <c r="A514" s="198" t="s">
        <v>51</v>
      </c>
      <c r="B514" s="132" t="s">
        <v>4</v>
      </c>
      <c r="C514" s="331" t="s">
        <v>6</v>
      </c>
      <c r="D514" s="116" t="s">
        <v>608</v>
      </c>
      <c r="E514" s="334">
        <v>240</v>
      </c>
      <c r="F514" s="575">
        <f>'ведом. 2025-2027'!AD336</f>
        <v>0</v>
      </c>
      <c r="G514" s="441"/>
      <c r="H514" s="460">
        <f>'ведом. 2025-2027'!AE336</f>
        <v>210</v>
      </c>
      <c r="I514" s="583"/>
      <c r="J514" s="575">
        <f>'ведом. 2025-2027'!AF336</f>
        <v>0</v>
      </c>
      <c r="K514" s="441"/>
      <c r="L514" s="114"/>
      <c r="N514" s="114"/>
      <c r="O514" s="114"/>
    </row>
    <row r="515" spans="1:15" s="103" customFormat="1" x14ac:dyDescent="0.25">
      <c r="A515" s="182" t="s">
        <v>240</v>
      </c>
      <c r="B515" s="132" t="s">
        <v>4</v>
      </c>
      <c r="C515" s="331" t="s">
        <v>6</v>
      </c>
      <c r="D515" s="116" t="s">
        <v>241</v>
      </c>
      <c r="E515" s="207"/>
      <c r="F515" s="577">
        <f t="shared" ref="F515:K515" si="86">F516+F542</f>
        <v>871659.5</v>
      </c>
      <c r="G515" s="525">
        <f t="shared" si="86"/>
        <v>309917.2</v>
      </c>
      <c r="H515" s="545">
        <f t="shared" si="86"/>
        <v>407658.4</v>
      </c>
      <c r="I515" s="585">
        <f t="shared" si="86"/>
        <v>13931.9</v>
      </c>
      <c r="J515" s="577">
        <f t="shared" si="86"/>
        <v>686700.2</v>
      </c>
      <c r="K515" s="525">
        <f t="shared" si="86"/>
        <v>199026.8</v>
      </c>
      <c r="L515" s="114"/>
      <c r="N515" s="114"/>
      <c r="O515" s="114"/>
    </row>
    <row r="516" spans="1:15" s="103" customFormat="1" x14ac:dyDescent="0.25">
      <c r="A516" s="185" t="s">
        <v>365</v>
      </c>
      <c r="B516" s="132" t="s">
        <v>4</v>
      </c>
      <c r="C516" s="331" t="s">
        <v>6</v>
      </c>
      <c r="D516" s="116" t="s">
        <v>366</v>
      </c>
      <c r="E516" s="207"/>
      <c r="F516" s="577">
        <f t="shared" ref="F516:K516" si="87">F532+F517</f>
        <v>449806.2</v>
      </c>
      <c r="G516" s="525">
        <f t="shared" si="87"/>
        <v>309917.2</v>
      </c>
      <c r="H516" s="545">
        <f t="shared" si="87"/>
        <v>16969.400000000001</v>
      </c>
      <c r="I516" s="585">
        <f t="shared" si="87"/>
        <v>13931.9</v>
      </c>
      <c r="J516" s="577">
        <f t="shared" si="87"/>
        <v>242420</v>
      </c>
      <c r="K516" s="525">
        <f t="shared" si="87"/>
        <v>199026.8</v>
      </c>
      <c r="L516" s="114"/>
      <c r="N516" s="114"/>
      <c r="O516" s="114"/>
    </row>
    <row r="517" spans="1:15" s="103" customFormat="1" ht="31.5" x14ac:dyDescent="0.25">
      <c r="A517" s="185" t="s">
        <v>389</v>
      </c>
      <c r="B517" s="132" t="s">
        <v>4</v>
      </c>
      <c r="C517" s="331" t="s">
        <v>6</v>
      </c>
      <c r="D517" s="116" t="s">
        <v>390</v>
      </c>
      <c r="E517" s="207"/>
      <c r="F517" s="577">
        <f>F527+F524+F518+F521</f>
        <v>277992.7</v>
      </c>
      <c r="G517" s="525">
        <f>G527+G524+G518+G521</f>
        <v>193273.60000000001</v>
      </c>
      <c r="H517" s="545">
        <f>H527+H524+H518+H521</f>
        <v>0</v>
      </c>
      <c r="I517" s="585"/>
      <c r="J517" s="577">
        <f>J527+J524+J518+J521</f>
        <v>0</v>
      </c>
      <c r="K517" s="525"/>
      <c r="L517" s="114"/>
      <c r="N517" s="114"/>
      <c r="O517" s="114"/>
    </row>
    <row r="518" spans="1:15" s="103" customFormat="1" ht="31.5" x14ac:dyDescent="0.25">
      <c r="A518" s="299" t="s">
        <v>793</v>
      </c>
      <c r="B518" s="509" t="s">
        <v>4</v>
      </c>
      <c r="C518" s="297" t="s">
        <v>6</v>
      </c>
      <c r="D518" s="409" t="s">
        <v>794</v>
      </c>
      <c r="E518" s="555"/>
      <c r="F518" s="577">
        <f>F519</f>
        <v>487</v>
      </c>
      <c r="G518" s="525"/>
      <c r="H518" s="545">
        <f t="shared" ref="H518:J519" si="88">H519</f>
        <v>0</v>
      </c>
      <c r="I518" s="585"/>
      <c r="J518" s="577">
        <f t="shared" si="88"/>
        <v>0</v>
      </c>
      <c r="K518" s="525"/>
      <c r="L518" s="114"/>
      <c r="N518" s="114"/>
      <c r="O518" s="114"/>
    </row>
    <row r="519" spans="1:15" s="103" customFormat="1" x14ac:dyDescent="0.25">
      <c r="A519" s="294" t="s">
        <v>118</v>
      </c>
      <c r="B519" s="509" t="s">
        <v>4</v>
      </c>
      <c r="C519" s="297" t="s">
        <v>6</v>
      </c>
      <c r="D519" s="409" t="s">
        <v>794</v>
      </c>
      <c r="E519" s="555" t="s">
        <v>36</v>
      </c>
      <c r="F519" s="577">
        <f>F520</f>
        <v>487</v>
      </c>
      <c r="G519" s="525"/>
      <c r="H519" s="545">
        <f t="shared" si="88"/>
        <v>0</v>
      </c>
      <c r="I519" s="585"/>
      <c r="J519" s="577">
        <f t="shared" si="88"/>
        <v>0</v>
      </c>
      <c r="K519" s="525"/>
      <c r="L519" s="114"/>
      <c r="N519" s="114"/>
      <c r="O519" s="114"/>
    </row>
    <row r="520" spans="1:15" s="103" customFormat="1" ht="31.5" x14ac:dyDescent="0.25">
      <c r="A520" s="294" t="s">
        <v>51</v>
      </c>
      <c r="B520" s="509" t="s">
        <v>4</v>
      </c>
      <c r="C520" s="297" t="s">
        <v>6</v>
      </c>
      <c r="D520" s="409" t="s">
        <v>794</v>
      </c>
      <c r="E520" s="555" t="s">
        <v>64</v>
      </c>
      <c r="F520" s="577">
        <f>'ведом. 2025-2027'!AD999</f>
        <v>487</v>
      </c>
      <c r="G520" s="525"/>
      <c r="H520" s="545">
        <f>'ведом. 2025-2027'!AE999</f>
        <v>0</v>
      </c>
      <c r="I520" s="585"/>
      <c r="J520" s="577">
        <f>'ведом. 2025-2027'!AF999</f>
        <v>0</v>
      </c>
      <c r="K520" s="525"/>
      <c r="L520" s="114"/>
      <c r="N520" s="114"/>
      <c r="O520" s="114"/>
    </row>
    <row r="521" spans="1:15" s="103" customFormat="1" x14ac:dyDescent="0.25">
      <c r="A521" s="294" t="s">
        <v>813</v>
      </c>
      <c r="B521" s="509" t="s">
        <v>4</v>
      </c>
      <c r="C521" s="297" t="s">
        <v>6</v>
      </c>
      <c r="D521" s="409" t="s">
        <v>814</v>
      </c>
      <c r="E521" s="552"/>
      <c r="F521" s="577">
        <f>F522</f>
        <v>14734.3</v>
      </c>
      <c r="G521" s="525"/>
      <c r="H521" s="545">
        <f t="shared" ref="H521:J522" si="89">H522</f>
        <v>0</v>
      </c>
      <c r="I521" s="585"/>
      <c r="J521" s="577">
        <f t="shared" si="89"/>
        <v>0</v>
      </c>
      <c r="K521" s="525"/>
      <c r="L521" s="114"/>
      <c r="N521" s="114"/>
      <c r="O521" s="114"/>
    </row>
    <row r="522" spans="1:15" s="103" customFormat="1" x14ac:dyDescent="0.25">
      <c r="A522" s="294" t="s">
        <v>118</v>
      </c>
      <c r="B522" s="509" t="s">
        <v>4</v>
      </c>
      <c r="C522" s="297" t="s">
        <v>6</v>
      </c>
      <c r="D522" s="409" t="s">
        <v>814</v>
      </c>
      <c r="E522" s="551">
        <v>200</v>
      </c>
      <c r="F522" s="577">
        <f>F523</f>
        <v>14734.3</v>
      </c>
      <c r="G522" s="525"/>
      <c r="H522" s="545">
        <f t="shared" si="89"/>
        <v>0</v>
      </c>
      <c r="I522" s="585"/>
      <c r="J522" s="577">
        <f t="shared" si="89"/>
        <v>0</v>
      </c>
      <c r="K522" s="525"/>
      <c r="L522" s="114"/>
      <c r="N522" s="114"/>
      <c r="O522" s="114"/>
    </row>
    <row r="523" spans="1:15" s="103" customFormat="1" ht="31.5" x14ac:dyDescent="0.25">
      <c r="A523" s="294" t="s">
        <v>51</v>
      </c>
      <c r="B523" s="509" t="s">
        <v>4</v>
      </c>
      <c r="C523" s="297" t="s">
        <v>6</v>
      </c>
      <c r="D523" s="409" t="s">
        <v>814</v>
      </c>
      <c r="E523" s="552">
        <v>240</v>
      </c>
      <c r="F523" s="577">
        <f>'ведом. 2025-2027'!AD1002</f>
        <v>14734.3</v>
      </c>
      <c r="G523" s="525"/>
      <c r="H523" s="545">
        <f>'ведом. 2025-2027'!AE1002</f>
        <v>0</v>
      </c>
      <c r="I523" s="585"/>
      <c r="J523" s="577">
        <f>'ведом. 2025-2027'!AF1002</f>
        <v>0</v>
      </c>
      <c r="K523" s="525"/>
      <c r="L523" s="114"/>
      <c r="N523" s="114"/>
      <c r="O523" s="114"/>
    </row>
    <row r="524" spans="1:15" s="103" customFormat="1" x14ac:dyDescent="0.25">
      <c r="A524" s="294" t="s">
        <v>738</v>
      </c>
      <c r="B524" s="509" t="s">
        <v>4</v>
      </c>
      <c r="C524" s="297" t="s">
        <v>6</v>
      </c>
      <c r="D524" s="409" t="s">
        <v>739</v>
      </c>
      <c r="E524" s="555"/>
      <c r="F524" s="577">
        <f>F525</f>
        <v>30471.4</v>
      </c>
      <c r="G524" s="525"/>
      <c r="H524" s="545">
        <f>H525</f>
        <v>0</v>
      </c>
      <c r="I524" s="585"/>
      <c r="J524" s="577">
        <f>J525</f>
        <v>0</v>
      </c>
      <c r="K524" s="525"/>
      <c r="L524" s="114"/>
      <c r="N524" s="114"/>
      <c r="O524" s="114"/>
    </row>
    <row r="525" spans="1:15" s="103" customFormat="1" x14ac:dyDescent="0.25">
      <c r="A525" s="294" t="s">
        <v>118</v>
      </c>
      <c r="B525" s="509" t="s">
        <v>4</v>
      </c>
      <c r="C525" s="297" t="s">
        <v>6</v>
      </c>
      <c r="D525" s="409" t="s">
        <v>739</v>
      </c>
      <c r="E525" s="555" t="s">
        <v>36</v>
      </c>
      <c r="F525" s="577">
        <f>F526</f>
        <v>30471.4</v>
      </c>
      <c r="G525" s="525"/>
      <c r="H525" s="545">
        <f>H526</f>
        <v>0</v>
      </c>
      <c r="I525" s="585"/>
      <c r="J525" s="577">
        <f>J526</f>
        <v>0</v>
      </c>
      <c r="K525" s="525"/>
      <c r="L525" s="114"/>
      <c r="N525" s="114"/>
      <c r="O525" s="114"/>
    </row>
    <row r="526" spans="1:15" s="103" customFormat="1" ht="21" customHeight="1" x14ac:dyDescent="0.25">
      <c r="A526" s="294" t="s">
        <v>51</v>
      </c>
      <c r="B526" s="509" t="s">
        <v>4</v>
      </c>
      <c r="C526" s="297" t="s">
        <v>6</v>
      </c>
      <c r="D526" s="409" t="s">
        <v>739</v>
      </c>
      <c r="E526" s="555" t="s">
        <v>64</v>
      </c>
      <c r="F526" s="577">
        <f>'ведом. 2025-2027'!AD1005</f>
        <v>30471.4</v>
      </c>
      <c r="G526" s="525"/>
      <c r="H526" s="545">
        <f>'ведом. 2025-2027'!AE1005</f>
        <v>0</v>
      </c>
      <c r="I526" s="585"/>
      <c r="J526" s="577">
        <f>'ведом. 2025-2027'!AF1005</f>
        <v>0</v>
      </c>
      <c r="K526" s="525"/>
      <c r="L526" s="114"/>
      <c r="N526" s="114"/>
      <c r="O526" s="114"/>
    </row>
    <row r="527" spans="1:15" s="103" customFormat="1" x14ac:dyDescent="0.25">
      <c r="A527" s="255" t="s">
        <v>392</v>
      </c>
      <c r="B527" s="132" t="s">
        <v>4</v>
      </c>
      <c r="C527" s="331" t="s">
        <v>6</v>
      </c>
      <c r="D527" s="116" t="s">
        <v>393</v>
      </c>
      <c r="E527" s="207"/>
      <c r="F527" s="577">
        <f>F528+F530</f>
        <v>232300</v>
      </c>
      <c r="G527" s="525">
        <f>G528+G530</f>
        <v>193273.60000000001</v>
      </c>
      <c r="H527" s="545">
        <f t="shared" ref="F527:H528" si="90">H528</f>
        <v>0</v>
      </c>
      <c r="I527" s="585"/>
      <c r="J527" s="577">
        <f>J528</f>
        <v>0</v>
      </c>
      <c r="K527" s="525"/>
      <c r="L527" s="114"/>
      <c r="N527" s="114"/>
      <c r="O527" s="114"/>
    </row>
    <row r="528" spans="1:15" s="103" customFormat="1" x14ac:dyDescent="0.25">
      <c r="A528" s="255" t="s">
        <v>118</v>
      </c>
      <c r="B528" s="132" t="s">
        <v>4</v>
      </c>
      <c r="C528" s="331" t="s">
        <v>6</v>
      </c>
      <c r="D528" s="116" t="s">
        <v>393</v>
      </c>
      <c r="E528" s="207" t="s">
        <v>36</v>
      </c>
      <c r="F528" s="577">
        <f t="shared" si="90"/>
        <v>205026.5</v>
      </c>
      <c r="G528" s="525">
        <f t="shared" si="90"/>
        <v>170582.1</v>
      </c>
      <c r="H528" s="545">
        <f t="shared" si="90"/>
        <v>0</v>
      </c>
      <c r="I528" s="585"/>
      <c r="J528" s="577">
        <f>J529</f>
        <v>0</v>
      </c>
      <c r="K528" s="525"/>
      <c r="L528" s="114"/>
      <c r="N528" s="114"/>
      <c r="O528" s="114"/>
    </row>
    <row r="529" spans="1:15" s="103" customFormat="1" ht="31.5" x14ac:dyDescent="0.25">
      <c r="A529" s="255" t="s">
        <v>51</v>
      </c>
      <c r="B529" s="132" t="s">
        <v>4</v>
      </c>
      <c r="C529" s="331" t="s">
        <v>6</v>
      </c>
      <c r="D529" s="116" t="s">
        <v>393</v>
      </c>
      <c r="E529" s="207" t="s">
        <v>64</v>
      </c>
      <c r="F529" s="577">
        <f>'ведом. 2025-2027'!AD1008</f>
        <v>205026.5</v>
      </c>
      <c r="G529" s="525">
        <f>193273.6-682.8-22008.7</f>
        <v>170582.1</v>
      </c>
      <c r="H529" s="545">
        <f>'ведом. 2025-2027'!AE1008</f>
        <v>0</v>
      </c>
      <c r="I529" s="585"/>
      <c r="J529" s="577">
        <f>'ведом. 2025-2027'!AF1008</f>
        <v>0</v>
      </c>
      <c r="K529" s="525"/>
      <c r="L529" s="114"/>
      <c r="N529" s="114"/>
      <c r="O529" s="114"/>
    </row>
    <row r="530" spans="1:15" s="103" customFormat="1" ht="31.5" x14ac:dyDescent="0.25">
      <c r="A530" s="294" t="s">
        <v>59</v>
      </c>
      <c r="B530" s="132" t="s">
        <v>4</v>
      </c>
      <c r="C530" s="331" t="s">
        <v>6</v>
      </c>
      <c r="D530" s="116" t="s">
        <v>393</v>
      </c>
      <c r="E530" s="207" t="s">
        <v>382</v>
      </c>
      <c r="F530" s="577">
        <f>F531</f>
        <v>27273.500000000004</v>
      </c>
      <c r="G530" s="525">
        <f>G531</f>
        <v>22691.5</v>
      </c>
      <c r="H530" s="545">
        <f>H531</f>
        <v>0</v>
      </c>
      <c r="I530" s="585"/>
      <c r="J530" s="577">
        <f>J531</f>
        <v>0</v>
      </c>
      <c r="K530" s="525"/>
      <c r="L530" s="114"/>
      <c r="N530" s="114"/>
      <c r="O530" s="114"/>
    </row>
    <row r="531" spans="1:15" s="103" customFormat="1" x14ac:dyDescent="0.25">
      <c r="A531" s="294" t="s">
        <v>60</v>
      </c>
      <c r="B531" s="132" t="s">
        <v>4</v>
      </c>
      <c r="C531" s="331" t="s">
        <v>6</v>
      </c>
      <c r="D531" s="116" t="s">
        <v>393</v>
      </c>
      <c r="E531" s="207" t="s">
        <v>383</v>
      </c>
      <c r="F531" s="577">
        <f>'ведом. 2025-2027'!AD342</f>
        <v>27273.500000000004</v>
      </c>
      <c r="G531" s="525">
        <f>22008.7+682.8</f>
        <v>22691.5</v>
      </c>
      <c r="H531" s="545"/>
      <c r="I531" s="585"/>
      <c r="J531" s="577"/>
      <c r="K531" s="525"/>
      <c r="L531" s="114"/>
      <c r="N531" s="114"/>
      <c r="O531" s="114"/>
    </row>
    <row r="532" spans="1:15" s="103" customFormat="1" x14ac:dyDescent="0.25">
      <c r="A532" s="184" t="s">
        <v>639</v>
      </c>
      <c r="B532" s="132" t="s">
        <v>4</v>
      </c>
      <c r="C532" s="331" t="s">
        <v>6</v>
      </c>
      <c r="D532" s="116" t="s">
        <v>640</v>
      </c>
      <c r="E532" s="207"/>
      <c r="F532" s="577">
        <f t="shared" ref="F532:K532" si="91">F536+F539+F533</f>
        <v>171813.5</v>
      </c>
      <c r="G532" s="525">
        <f t="shared" si="91"/>
        <v>116643.59999999999</v>
      </c>
      <c r="H532" s="545">
        <f t="shared" si="91"/>
        <v>16969.400000000001</v>
      </c>
      <c r="I532" s="585">
        <f t="shared" si="91"/>
        <v>13931.9</v>
      </c>
      <c r="J532" s="577">
        <f t="shared" si="91"/>
        <v>242420</v>
      </c>
      <c r="K532" s="525">
        <f t="shared" si="91"/>
        <v>199026.8</v>
      </c>
      <c r="L532" s="114"/>
      <c r="N532" s="114"/>
      <c r="O532" s="114"/>
    </row>
    <row r="533" spans="1:15" s="103" customFormat="1" ht="63" x14ac:dyDescent="0.25">
      <c r="A533" s="307" t="s">
        <v>774</v>
      </c>
      <c r="B533" s="509" t="s">
        <v>4</v>
      </c>
      <c r="C533" s="297" t="s">
        <v>6</v>
      </c>
      <c r="D533" s="116" t="s">
        <v>775</v>
      </c>
      <c r="E533" s="555"/>
      <c r="F533" s="577">
        <f>F534</f>
        <v>29738.400000000001</v>
      </c>
      <c r="G533" s="525"/>
      <c r="H533" s="545">
        <f t="shared" ref="H533:J534" si="92">H534</f>
        <v>0</v>
      </c>
      <c r="I533" s="585"/>
      <c r="J533" s="577">
        <f t="shared" si="92"/>
        <v>0</v>
      </c>
      <c r="K533" s="525"/>
      <c r="L533" s="114"/>
      <c r="N533" s="114"/>
      <c r="O533" s="114"/>
    </row>
    <row r="534" spans="1:15" s="103" customFormat="1" x14ac:dyDescent="0.25">
      <c r="A534" s="294" t="s">
        <v>118</v>
      </c>
      <c r="B534" s="509" t="s">
        <v>4</v>
      </c>
      <c r="C534" s="297" t="s">
        <v>6</v>
      </c>
      <c r="D534" s="116" t="s">
        <v>775</v>
      </c>
      <c r="E534" s="555" t="s">
        <v>36</v>
      </c>
      <c r="F534" s="577">
        <f>F535</f>
        <v>29738.400000000001</v>
      </c>
      <c r="G534" s="525"/>
      <c r="H534" s="545">
        <f t="shared" si="92"/>
        <v>0</v>
      </c>
      <c r="I534" s="585"/>
      <c r="J534" s="577">
        <f t="shared" si="92"/>
        <v>0</v>
      </c>
      <c r="K534" s="525"/>
      <c r="L534" s="114"/>
      <c r="N534" s="114"/>
      <c r="O534" s="114"/>
    </row>
    <row r="535" spans="1:15" s="103" customFormat="1" ht="31.5" x14ac:dyDescent="0.25">
      <c r="A535" s="294" t="s">
        <v>51</v>
      </c>
      <c r="B535" s="509" t="s">
        <v>4</v>
      </c>
      <c r="C535" s="297" t="s">
        <v>6</v>
      </c>
      <c r="D535" s="116" t="s">
        <v>775</v>
      </c>
      <c r="E535" s="555" t="s">
        <v>64</v>
      </c>
      <c r="F535" s="577">
        <f>'ведом. 2025-2027'!AD1012</f>
        <v>29738.400000000001</v>
      </c>
      <c r="G535" s="525"/>
      <c r="H535" s="545">
        <f>'ведом. 2025-2027'!AE1012</f>
        <v>0</v>
      </c>
      <c r="I535" s="585"/>
      <c r="J535" s="577">
        <f>'ведом. 2025-2027'!AF1012</f>
        <v>0</v>
      </c>
      <c r="K535" s="525"/>
      <c r="L535" s="114"/>
      <c r="N535" s="114"/>
      <c r="O535" s="114"/>
    </row>
    <row r="536" spans="1:15" s="103" customFormat="1" ht="47.25" x14ac:dyDescent="0.25">
      <c r="A536" s="255" t="s">
        <v>638</v>
      </c>
      <c r="B536" s="132" t="s">
        <v>4</v>
      </c>
      <c r="C536" s="331" t="s">
        <v>6</v>
      </c>
      <c r="D536" s="116" t="s">
        <v>641</v>
      </c>
      <c r="E536" s="207"/>
      <c r="F536" s="577">
        <f t="shared" ref="F536:H537" si="93">F537</f>
        <v>142075.1</v>
      </c>
      <c r="G536" s="525">
        <f>G537</f>
        <v>116643.59999999999</v>
      </c>
      <c r="H536" s="545">
        <f t="shared" si="93"/>
        <v>0</v>
      </c>
      <c r="I536" s="585"/>
      <c r="J536" s="577">
        <f>J537</f>
        <v>0</v>
      </c>
      <c r="K536" s="525"/>
      <c r="L536" s="114"/>
      <c r="N536" s="114"/>
      <c r="O536" s="114"/>
    </row>
    <row r="537" spans="1:15" s="103" customFormat="1" x14ac:dyDescent="0.25">
      <c r="A537" s="255" t="s">
        <v>118</v>
      </c>
      <c r="B537" s="132" t="s">
        <v>4</v>
      </c>
      <c r="C537" s="331" t="s">
        <v>6</v>
      </c>
      <c r="D537" s="116" t="s">
        <v>641</v>
      </c>
      <c r="E537" s="207" t="s">
        <v>36</v>
      </c>
      <c r="F537" s="577">
        <f t="shared" si="93"/>
        <v>142075.1</v>
      </c>
      <c r="G537" s="525">
        <f>G538</f>
        <v>116643.59999999999</v>
      </c>
      <c r="H537" s="545">
        <f t="shared" si="93"/>
        <v>0</v>
      </c>
      <c r="I537" s="585"/>
      <c r="J537" s="577">
        <f>J538</f>
        <v>0</v>
      </c>
      <c r="K537" s="525"/>
      <c r="L537" s="114"/>
      <c r="N537" s="114"/>
      <c r="O537" s="114"/>
    </row>
    <row r="538" spans="1:15" s="103" customFormat="1" ht="31.5" x14ac:dyDescent="0.25">
      <c r="A538" s="255" t="s">
        <v>51</v>
      </c>
      <c r="B538" s="132" t="s">
        <v>4</v>
      </c>
      <c r="C538" s="331" t="s">
        <v>6</v>
      </c>
      <c r="D538" s="116" t="s">
        <v>641</v>
      </c>
      <c r="E538" s="207" t="s">
        <v>64</v>
      </c>
      <c r="F538" s="577">
        <f>'ведом. 2025-2027'!AD1015</f>
        <v>142075.1</v>
      </c>
      <c r="G538" s="525">
        <f>92572.4+24071.2</f>
        <v>116643.59999999999</v>
      </c>
      <c r="H538" s="545">
        <f>'ведом. 2025-2027'!AE1015</f>
        <v>0</v>
      </c>
      <c r="I538" s="585"/>
      <c r="J538" s="577">
        <f>'ведом. 2025-2027'!AF1015</f>
        <v>0</v>
      </c>
      <c r="K538" s="525"/>
      <c r="L538" s="114"/>
      <c r="N538" s="114"/>
      <c r="O538" s="114"/>
    </row>
    <row r="539" spans="1:15" s="103" customFormat="1" ht="31.5" x14ac:dyDescent="0.25">
      <c r="A539" s="294" t="s">
        <v>611</v>
      </c>
      <c r="B539" s="509" t="s">
        <v>4</v>
      </c>
      <c r="C539" s="297" t="s">
        <v>6</v>
      </c>
      <c r="D539" s="116" t="s">
        <v>644</v>
      </c>
      <c r="E539" s="555"/>
      <c r="F539" s="577">
        <f>F540</f>
        <v>0</v>
      </c>
      <c r="G539" s="525"/>
      <c r="H539" s="545">
        <f t="shared" ref="H539:K540" si="94">H540</f>
        <v>16969.400000000001</v>
      </c>
      <c r="I539" s="585">
        <f t="shared" si="94"/>
        <v>13931.9</v>
      </c>
      <c r="J539" s="577">
        <f t="shared" si="94"/>
        <v>242420</v>
      </c>
      <c r="K539" s="525">
        <f t="shared" si="94"/>
        <v>199026.8</v>
      </c>
      <c r="L539" s="114"/>
      <c r="N539" s="114"/>
      <c r="O539" s="114"/>
    </row>
    <row r="540" spans="1:15" s="103" customFormat="1" x14ac:dyDescent="0.25">
      <c r="A540" s="294" t="s">
        <v>118</v>
      </c>
      <c r="B540" s="509" t="s">
        <v>4</v>
      </c>
      <c r="C540" s="297" t="s">
        <v>6</v>
      </c>
      <c r="D540" s="116" t="s">
        <v>644</v>
      </c>
      <c r="E540" s="555" t="s">
        <v>36</v>
      </c>
      <c r="F540" s="577">
        <f>F541</f>
        <v>0</v>
      </c>
      <c r="G540" s="525"/>
      <c r="H540" s="545">
        <f t="shared" si="94"/>
        <v>16969.400000000001</v>
      </c>
      <c r="I540" s="585">
        <f t="shared" si="94"/>
        <v>13931.9</v>
      </c>
      <c r="J540" s="577">
        <f t="shared" si="94"/>
        <v>242420</v>
      </c>
      <c r="K540" s="525">
        <f t="shared" si="94"/>
        <v>199026.8</v>
      </c>
      <c r="L540" s="114"/>
      <c r="N540" s="114"/>
      <c r="O540" s="114"/>
    </row>
    <row r="541" spans="1:15" s="103" customFormat="1" ht="31.5" x14ac:dyDescent="0.25">
      <c r="A541" s="294" t="s">
        <v>51</v>
      </c>
      <c r="B541" s="509" t="s">
        <v>4</v>
      </c>
      <c r="C541" s="297" t="s">
        <v>6</v>
      </c>
      <c r="D541" s="116" t="s">
        <v>644</v>
      </c>
      <c r="E541" s="555" t="s">
        <v>64</v>
      </c>
      <c r="F541" s="577">
        <f>'ведом. 2025-2027'!AD1018</f>
        <v>0</v>
      </c>
      <c r="G541" s="525"/>
      <c r="H541" s="545">
        <f>'ведом. 2025-2027'!AE1018</f>
        <v>16969.400000000001</v>
      </c>
      <c r="I541" s="585">
        <v>13931.9</v>
      </c>
      <c r="J541" s="577">
        <f>'ведом. 2025-2027'!AF1018</f>
        <v>242420</v>
      </c>
      <c r="K541" s="525">
        <v>199026.8</v>
      </c>
      <c r="L541" s="114"/>
      <c r="M541" s="114"/>
      <c r="N541" s="114"/>
      <c r="O541" s="114"/>
    </row>
    <row r="542" spans="1:15" s="103" customFormat="1" ht="31.5" x14ac:dyDescent="0.25">
      <c r="A542" s="182" t="s">
        <v>535</v>
      </c>
      <c r="B542" s="132" t="s">
        <v>4</v>
      </c>
      <c r="C542" s="331" t="s">
        <v>6</v>
      </c>
      <c r="D542" s="116" t="s">
        <v>242</v>
      </c>
      <c r="E542" s="207"/>
      <c r="F542" s="577">
        <f>F543+F571</f>
        <v>421853.30000000005</v>
      </c>
      <c r="G542" s="525"/>
      <c r="H542" s="545">
        <f>H543+H571</f>
        <v>390689</v>
      </c>
      <c r="I542" s="585"/>
      <c r="J542" s="577">
        <f>J543+J571</f>
        <v>444280.2</v>
      </c>
      <c r="K542" s="525"/>
      <c r="L542" s="114"/>
      <c r="N542" s="114"/>
      <c r="O542" s="114"/>
    </row>
    <row r="543" spans="1:15" s="103" customFormat="1" ht="31.5" x14ac:dyDescent="0.25">
      <c r="A543" s="184" t="s">
        <v>536</v>
      </c>
      <c r="B543" s="132" t="s">
        <v>4</v>
      </c>
      <c r="C543" s="331" t="s">
        <v>6</v>
      </c>
      <c r="D543" s="116" t="s">
        <v>243</v>
      </c>
      <c r="E543" s="334"/>
      <c r="F543" s="577">
        <f>F547+F550+F562+F559+F556+F544+F568+F553+F565</f>
        <v>386816.00000000006</v>
      </c>
      <c r="G543" s="525"/>
      <c r="H543" s="545">
        <f t="shared" ref="H543:J543" si="95">H547+H550+H562+H559+H556+H544+H568+H553+H565</f>
        <v>350566.7</v>
      </c>
      <c r="I543" s="585"/>
      <c r="J543" s="577">
        <f t="shared" si="95"/>
        <v>402552.9</v>
      </c>
      <c r="K543" s="525"/>
      <c r="L543" s="114"/>
      <c r="N543" s="114"/>
      <c r="O543" s="114"/>
    </row>
    <row r="544" spans="1:15" s="103" customFormat="1" x14ac:dyDescent="0.25">
      <c r="A544" s="307" t="s">
        <v>763</v>
      </c>
      <c r="B544" s="509" t="s">
        <v>4</v>
      </c>
      <c r="C544" s="297" t="s">
        <v>6</v>
      </c>
      <c r="D544" s="409" t="s">
        <v>764</v>
      </c>
      <c r="E544" s="334"/>
      <c r="F544" s="577">
        <f>F545</f>
        <v>33931.800000000003</v>
      </c>
      <c r="G544" s="525"/>
      <c r="H544" s="545">
        <f t="shared" ref="H544:J545" si="96">H545</f>
        <v>0</v>
      </c>
      <c r="I544" s="585"/>
      <c r="J544" s="577">
        <f t="shared" si="96"/>
        <v>0</v>
      </c>
      <c r="K544" s="525"/>
      <c r="L544" s="114"/>
      <c r="N544" s="114"/>
      <c r="O544" s="114"/>
    </row>
    <row r="545" spans="1:15" s="103" customFormat="1" x14ac:dyDescent="0.25">
      <c r="A545" s="294" t="s">
        <v>118</v>
      </c>
      <c r="B545" s="509" t="s">
        <v>4</v>
      </c>
      <c r="C545" s="297" t="s">
        <v>6</v>
      </c>
      <c r="D545" s="409" t="s">
        <v>764</v>
      </c>
      <c r="E545" s="555" t="s">
        <v>36</v>
      </c>
      <c r="F545" s="577">
        <f>F546</f>
        <v>33931.800000000003</v>
      </c>
      <c r="G545" s="525"/>
      <c r="H545" s="545">
        <f t="shared" si="96"/>
        <v>0</v>
      </c>
      <c r="I545" s="585"/>
      <c r="J545" s="577">
        <f t="shared" si="96"/>
        <v>0</v>
      </c>
      <c r="K545" s="525"/>
      <c r="L545" s="114"/>
      <c r="N545" s="114"/>
      <c r="O545" s="114"/>
    </row>
    <row r="546" spans="1:15" s="103" customFormat="1" ht="31.5" x14ac:dyDescent="0.25">
      <c r="A546" s="294" t="s">
        <v>51</v>
      </c>
      <c r="B546" s="509" t="s">
        <v>4</v>
      </c>
      <c r="C546" s="297" t="s">
        <v>6</v>
      </c>
      <c r="D546" s="409" t="s">
        <v>764</v>
      </c>
      <c r="E546" s="555" t="s">
        <v>64</v>
      </c>
      <c r="F546" s="577">
        <f>'ведом. 2025-2027'!AD1023</f>
        <v>33931.800000000003</v>
      </c>
      <c r="G546" s="525"/>
      <c r="H546" s="545">
        <f>'ведом. 2025-2027'!AE1023</f>
        <v>0</v>
      </c>
      <c r="I546" s="585"/>
      <c r="J546" s="577">
        <f>'ведом. 2025-2027'!AF1023</f>
        <v>0</v>
      </c>
      <c r="K546" s="525"/>
      <c r="L546" s="114"/>
      <c r="N546" s="114"/>
      <c r="O546" s="114"/>
    </row>
    <row r="547" spans="1:15" s="103" customFormat="1" x14ac:dyDescent="0.25">
      <c r="A547" s="200" t="s">
        <v>567</v>
      </c>
      <c r="B547" s="132" t="s">
        <v>4</v>
      </c>
      <c r="C547" s="331" t="s">
        <v>6</v>
      </c>
      <c r="D547" s="116" t="s">
        <v>566</v>
      </c>
      <c r="E547" s="334"/>
      <c r="F547" s="578">
        <f>F548</f>
        <v>0</v>
      </c>
      <c r="G547" s="526"/>
      <c r="H547" s="546">
        <f>H548</f>
        <v>4891.6000000000004</v>
      </c>
      <c r="I547" s="586"/>
      <c r="J547" s="578">
        <f>J548</f>
        <v>32860.699999999997</v>
      </c>
      <c r="K547" s="526"/>
      <c r="L547" s="114"/>
      <c r="N547" s="114"/>
      <c r="O547" s="114"/>
    </row>
    <row r="548" spans="1:15" s="103" customFormat="1" x14ac:dyDescent="0.25">
      <c r="A548" s="255" t="s">
        <v>118</v>
      </c>
      <c r="B548" s="132" t="s">
        <v>4</v>
      </c>
      <c r="C548" s="331" t="s">
        <v>6</v>
      </c>
      <c r="D548" s="116" t="s">
        <v>566</v>
      </c>
      <c r="E548" s="205">
        <v>200</v>
      </c>
      <c r="F548" s="577">
        <f>F549</f>
        <v>0</v>
      </c>
      <c r="G548" s="527"/>
      <c r="H548" s="545">
        <f>H549</f>
        <v>4891.6000000000004</v>
      </c>
      <c r="I548" s="587"/>
      <c r="J548" s="577">
        <f>J549</f>
        <v>32860.699999999997</v>
      </c>
      <c r="K548" s="527"/>
      <c r="L548" s="114"/>
      <c r="N548" s="114"/>
      <c r="O548" s="114"/>
    </row>
    <row r="549" spans="1:15" s="103" customFormat="1" ht="31.5" x14ac:dyDescent="0.25">
      <c r="A549" s="255" t="s">
        <v>51</v>
      </c>
      <c r="B549" s="132" t="s">
        <v>4</v>
      </c>
      <c r="C549" s="331" t="s">
        <v>6</v>
      </c>
      <c r="D549" s="116" t="s">
        <v>566</v>
      </c>
      <c r="E549" s="334">
        <v>240</v>
      </c>
      <c r="F549" s="577">
        <f>'ведом. 2025-2027'!AD1026</f>
        <v>0</v>
      </c>
      <c r="G549" s="527"/>
      <c r="H549" s="545">
        <f>'ведом. 2025-2027'!AE1026</f>
        <v>4891.6000000000004</v>
      </c>
      <c r="I549" s="587"/>
      <c r="J549" s="577">
        <f>'ведом. 2025-2027'!AF1026</f>
        <v>32860.699999999997</v>
      </c>
      <c r="K549" s="527"/>
      <c r="L549" s="114"/>
      <c r="N549" s="114"/>
      <c r="O549" s="114"/>
    </row>
    <row r="550" spans="1:15" s="103" customFormat="1" x14ac:dyDescent="0.25">
      <c r="A550" s="255" t="s">
        <v>429</v>
      </c>
      <c r="B550" s="132" t="s">
        <v>4</v>
      </c>
      <c r="C550" s="331" t="s">
        <v>6</v>
      </c>
      <c r="D550" s="116" t="s">
        <v>397</v>
      </c>
      <c r="E550" s="334"/>
      <c r="F550" s="577">
        <f>F551</f>
        <v>32793.300000000003</v>
      </c>
      <c r="G550" s="525"/>
      <c r="H550" s="545">
        <f>H551</f>
        <v>22488.1</v>
      </c>
      <c r="I550" s="585"/>
      <c r="J550" s="577">
        <f>J551</f>
        <v>31269.200000000001</v>
      </c>
      <c r="K550" s="527"/>
      <c r="L550" s="114"/>
      <c r="N550" s="114"/>
      <c r="O550" s="114"/>
    </row>
    <row r="551" spans="1:15" s="103" customFormat="1" x14ac:dyDescent="0.25">
      <c r="A551" s="255" t="s">
        <v>118</v>
      </c>
      <c r="B551" s="132" t="s">
        <v>4</v>
      </c>
      <c r="C551" s="331" t="s">
        <v>6</v>
      </c>
      <c r="D551" s="116" t="s">
        <v>397</v>
      </c>
      <c r="E551" s="205">
        <v>200</v>
      </c>
      <c r="F551" s="577">
        <f>F552</f>
        <v>32793.300000000003</v>
      </c>
      <c r="G551" s="525"/>
      <c r="H551" s="545">
        <f>H552</f>
        <v>22488.1</v>
      </c>
      <c r="I551" s="585"/>
      <c r="J551" s="577">
        <f>J552</f>
        <v>31269.200000000001</v>
      </c>
      <c r="K551" s="527"/>
      <c r="L551" s="114"/>
      <c r="N551" s="114"/>
      <c r="O551" s="114"/>
    </row>
    <row r="552" spans="1:15" s="103" customFormat="1" ht="31.5" x14ac:dyDescent="0.25">
      <c r="A552" s="255" t="s">
        <v>51</v>
      </c>
      <c r="B552" s="132" t="s">
        <v>4</v>
      </c>
      <c r="C552" s="331" t="s">
        <v>6</v>
      </c>
      <c r="D552" s="116" t="s">
        <v>397</v>
      </c>
      <c r="E552" s="334">
        <v>240</v>
      </c>
      <c r="F552" s="577">
        <f>'ведом. 2025-2027'!AD1029</f>
        <v>32793.300000000003</v>
      </c>
      <c r="G552" s="527"/>
      <c r="H552" s="545">
        <f>'ведом. 2025-2027'!AE1029</f>
        <v>22488.1</v>
      </c>
      <c r="I552" s="587"/>
      <c r="J552" s="577">
        <f>'ведом. 2025-2027'!AF1029</f>
        <v>31269.200000000001</v>
      </c>
      <c r="K552" s="527"/>
      <c r="L552" s="114"/>
      <c r="N552" s="114"/>
      <c r="O552" s="114"/>
    </row>
    <row r="553" spans="1:15" s="103" customFormat="1" x14ac:dyDescent="0.25">
      <c r="A553" s="307" t="s">
        <v>875</v>
      </c>
      <c r="B553" s="509" t="s">
        <v>4</v>
      </c>
      <c r="C553" s="297" t="s">
        <v>6</v>
      </c>
      <c r="D553" s="409" t="s">
        <v>876</v>
      </c>
      <c r="E553" s="334"/>
      <c r="F553" s="577">
        <f>F554</f>
        <v>853.9</v>
      </c>
      <c r="G553" s="525"/>
      <c r="H553" s="545">
        <f t="shared" ref="H553:J554" si="97">H554</f>
        <v>0</v>
      </c>
      <c r="I553" s="585"/>
      <c r="J553" s="577">
        <f t="shared" si="97"/>
        <v>0</v>
      </c>
      <c r="K553" s="527"/>
      <c r="L553" s="114"/>
      <c r="N553" s="114"/>
      <c r="O553" s="114"/>
    </row>
    <row r="554" spans="1:15" s="103" customFormat="1" ht="31.5" x14ac:dyDescent="0.25">
      <c r="A554" s="294" t="s">
        <v>59</v>
      </c>
      <c r="B554" s="509" t="s">
        <v>4</v>
      </c>
      <c r="C554" s="297" t="s">
        <v>6</v>
      </c>
      <c r="D554" s="409" t="s">
        <v>876</v>
      </c>
      <c r="E554" s="334">
        <v>600</v>
      </c>
      <c r="F554" s="577">
        <f>F555</f>
        <v>853.9</v>
      </c>
      <c r="G554" s="525"/>
      <c r="H554" s="545">
        <f t="shared" si="97"/>
        <v>0</v>
      </c>
      <c r="I554" s="585"/>
      <c r="J554" s="577">
        <f t="shared" si="97"/>
        <v>0</v>
      </c>
      <c r="K554" s="527"/>
      <c r="L554" s="114"/>
      <c r="N554" s="114"/>
      <c r="O554" s="114"/>
    </row>
    <row r="555" spans="1:15" s="103" customFormat="1" x14ac:dyDescent="0.25">
      <c r="A555" s="294" t="s">
        <v>60</v>
      </c>
      <c r="B555" s="509" t="s">
        <v>4</v>
      </c>
      <c r="C555" s="297" t="s">
        <v>6</v>
      </c>
      <c r="D555" s="409" t="s">
        <v>876</v>
      </c>
      <c r="E555" s="334">
        <v>610</v>
      </c>
      <c r="F555" s="577">
        <f>'ведом. 2025-2027'!AD347</f>
        <v>853.9</v>
      </c>
      <c r="G555" s="527"/>
      <c r="H555" s="545">
        <f>'ведом. 2025-2027'!AE347</f>
        <v>0</v>
      </c>
      <c r="I555" s="587"/>
      <c r="J555" s="577">
        <f>'ведом. 2025-2027'!AF347</f>
        <v>0</v>
      </c>
      <c r="K555" s="527"/>
      <c r="L555" s="114"/>
      <c r="N555" s="114"/>
      <c r="O555" s="114"/>
    </row>
    <row r="556" spans="1:15" s="103" customFormat="1" ht="31.5" x14ac:dyDescent="0.25">
      <c r="A556" s="255" t="s">
        <v>619</v>
      </c>
      <c r="B556" s="132" t="s">
        <v>4</v>
      </c>
      <c r="C556" s="331" t="s">
        <v>6</v>
      </c>
      <c r="D556" s="116" t="s">
        <v>618</v>
      </c>
      <c r="E556" s="334"/>
      <c r="F556" s="577">
        <f>F557</f>
        <v>15915.2</v>
      </c>
      <c r="G556" s="525"/>
      <c r="H556" s="545">
        <f t="shared" ref="H556:J557" si="98">H557</f>
        <v>16552</v>
      </c>
      <c r="I556" s="585"/>
      <c r="J556" s="577">
        <f t="shared" si="98"/>
        <v>17214</v>
      </c>
      <c r="K556" s="525"/>
      <c r="L556" s="114"/>
      <c r="N556" s="114"/>
      <c r="O556" s="114"/>
    </row>
    <row r="557" spans="1:15" s="103" customFormat="1" x14ac:dyDescent="0.25">
      <c r="A557" s="255" t="s">
        <v>118</v>
      </c>
      <c r="B557" s="132" t="s">
        <v>4</v>
      </c>
      <c r="C557" s="331" t="s">
        <v>6</v>
      </c>
      <c r="D557" s="116" t="s">
        <v>618</v>
      </c>
      <c r="E557" s="205">
        <v>200</v>
      </c>
      <c r="F557" s="577">
        <f>F558</f>
        <v>15915.2</v>
      </c>
      <c r="G557" s="525"/>
      <c r="H557" s="545">
        <f t="shared" si="98"/>
        <v>16552</v>
      </c>
      <c r="I557" s="585"/>
      <c r="J557" s="577">
        <f t="shared" si="98"/>
        <v>17214</v>
      </c>
      <c r="K557" s="525"/>
      <c r="L557" s="114"/>
      <c r="N557" s="114"/>
      <c r="O557" s="114"/>
    </row>
    <row r="558" spans="1:15" s="103" customFormat="1" ht="31.5" x14ac:dyDescent="0.25">
      <c r="A558" s="255" t="s">
        <v>51</v>
      </c>
      <c r="B558" s="132" t="s">
        <v>4</v>
      </c>
      <c r="C558" s="331" t="s">
        <v>6</v>
      </c>
      <c r="D558" s="116" t="s">
        <v>618</v>
      </c>
      <c r="E558" s="334">
        <v>240</v>
      </c>
      <c r="F558" s="577">
        <f>'ведом. 2025-2027'!AD1032</f>
        <v>15915.2</v>
      </c>
      <c r="G558" s="527"/>
      <c r="H558" s="545">
        <f>'ведом. 2025-2027'!AE1032</f>
        <v>16552</v>
      </c>
      <c r="I558" s="587"/>
      <c r="J558" s="577">
        <f>'ведом. 2025-2027'!AF1032</f>
        <v>17214</v>
      </c>
      <c r="K558" s="527"/>
      <c r="L558" s="114"/>
      <c r="N558" s="114"/>
      <c r="O558" s="114"/>
    </row>
    <row r="559" spans="1:15" s="103" customFormat="1" x14ac:dyDescent="0.25">
      <c r="A559" s="255" t="s">
        <v>616</v>
      </c>
      <c r="B559" s="132" t="s">
        <v>4</v>
      </c>
      <c r="C559" s="331" t="s">
        <v>6</v>
      </c>
      <c r="D559" s="116" t="s">
        <v>617</v>
      </c>
      <c r="E559" s="334"/>
      <c r="F559" s="577">
        <f>F560</f>
        <v>14147</v>
      </c>
      <c r="G559" s="525"/>
      <c r="H559" s="545">
        <f t="shared" ref="H559:J560" si="99">H560</f>
        <v>14713</v>
      </c>
      <c r="I559" s="585"/>
      <c r="J559" s="577">
        <f t="shared" si="99"/>
        <v>15301</v>
      </c>
      <c r="K559" s="527"/>
      <c r="L559" s="114"/>
      <c r="N559" s="114"/>
      <c r="O559" s="114"/>
    </row>
    <row r="560" spans="1:15" s="103" customFormat="1" x14ac:dyDescent="0.25">
      <c r="A560" s="255" t="s">
        <v>118</v>
      </c>
      <c r="B560" s="132" t="s">
        <v>4</v>
      </c>
      <c r="C560" s="331" t="s">
        <v>6</v>
      </c>
      <c r="D560" s="116" t="s">
        <v>617</v>
      </c>
      <c r="E560" s="205">
        <v>200</v>
      </c>
      <c r="F560" s="577">
        <f>F561</f>
        <v>14147</v>
      </c>
      <c r="G560" s="525"/>
      <c r="H560" s="545">
        <f t="shared" si="99"/>
        <v>14713</v>
      </c>
      <c r="I560" s="585"/>
      <c r="J560" s="577">
        <f t="shared" si="99"/>
        <v>15301</v>
      </c>
      <c r="K560" s="527"/>
      <c r="L560" s="114"/>
      <c r="N560" s="114"/>
      <c r="O560" s="114"/>
    </row>
    <row r="561" spans="1:15" s="103" customFormat="1" ht="31.5" x14ac:dyDescent="0.25">
      <c r="A561" s="255" t="s">
        <v>51</v>
      </c>
      <c r="B561" s="132" t="s">
        <v>4</v>
      </c>
      <c r="C561" s="331" t="s">
        <v>6</v>
      </c>
      <c r="D561" s="116" t="s">
        <v>617</v>
      </c>
      <c r="E561" s="334">
        <v>240</v>
      </c>
      <c r="F561" s="577">
        <f>'ведом. 2025-2027'!AD1035</f>
        <v>14147</v>
      </c>
      <c r="G561" s="527"/>
      <c r="H561" s="545">
        <f>'ведом. 2025-2027'!AE1035</f>
        <v>14713</v>
      </c>
      <c r="I561" s="587"/>
      <c r="J561" s="577">
        <f>'ведом. 2025-2027'!AF1035</f>
        <v>15301</v>
      </c>
      <c r="K561" s="527"/>
      <c r="L561" s="114"/>
      <c r="N561" s="114"/>
      <c r="O561" s="114"/>
    </row>
    <row r="562" spans="1:15" s="103" customFormat="1" x14ac:dyDescent="0.25">
      <c r="A562" s="255" t="s">
        <v>424</v>
      </c>
      <c r="B562" s="132" t="s">
        <v>4</v>
      </c>
      <c r="C562" s="331" t="s">
        <v>6</v>
      </c>
      <c r="D562" s="409" t="s">
        <v>680</v>
      </c>
      <c r="E562" s="334"/>
      <c r="F562" s="577">
        <f>F563</f>
        <v>2814.1</v>
      </c>
      <c r="G562" s="525"/>
      <c r="H562" s="545">
        <f>H563</f>
        <v>3986</v>
      </c>
      <c r="I562" s="585"/>
      <c r="J562" s="577">
        <f>J563</f>
        <v>4145</v>
      </c>
      <c r="K562" s="525"/>
      <c r="L562" s="114"/>
      <c r="N562" s="114"/>
      <c r="O562" s="114"/>
    </row>
    <row r="563" spans="1:15" s="103" customFormat="1" x14ac:dyDescent="0.25">
      <c r="A563" s="255" t="s">
        <v>118</v>
      </c>
      <c r="B563" s="132" t="s">
        <v>4</v>
      </c>
      <c r="C563" s="331" t="s">
        <v>6</v>
      </c>
      <c r="D563" s="409" t="s">
        <v>680</v>
      </c>
      <c r="E563" s="205">
        <v>200</v>
      </c>
      <c r="F563" s="577">
        <f>F564</f>
        <v>2814.1</v>
      </c>
      <c r="G563" s="525"/>
      <c r="H563" s="545">
        <f>H564</f>
        <v>3986</v>
      </c>
      <c r="I563" s="585"/>
      <c r="J563" s="577">
        <f>J564</f>
        <v>4145</v>
      </c>
      <c r="K563" s="525"/>
      <c r="L563" s="114"/>
      <c r="N563" s="114"/>
      <c r="O563" s="114"/>
    </row>
    <row r="564" spans="1:15" s="103" customFormat="1" ht="31.5" x14ac:dyDescent="0.25">
      <c r="A564" s="255" t="s">
        <v>51</v>
      </c>
      <c r="B564" s="132" t="s">
        <v>4</v>
      </c>
      <c r="C564" s="331" t="s">
        <v>6</v>
      </c>
      <c r="D564" s="409" t="s">
        <v>680</v>
      </c>
      <c r="E564" s="334">
        <v>240</v>
      </c>
      <c r="F564" s="577">
        <f>'ведом. 2025-2027'!AD1038</f>
        <v>2814.1</v>
      </c>
      <c r="G564" s="441"/>
      <c r="H564" s="545">
        <f>'ведом. 2025-2027'!AE1038</f>
        <v>3986</v>
      </c>
      <c r="I564" s="585"/>
      <c r="J564" s="577">
        <f>'ведом. 2025-2027'!AF1038</f>
        <v>4145</v>
      </c>
      <c r="K564" s="525"/>
      <c r="L564" s="114"/>
      <c r="N564" s="114"/>
      <c r="O564" s="114"/>
    </row>
    <row r="565" spans="1:15" s="103" customFormat="1" x14ac:dyDescent="0.25">
      <c r="A565" s="294" t="s">
        <v>903</v>
      </c>
      <c r="B565" s="509" t="s">
        <v>4</v>
      </c>
      <c r="C565" s="297" t="s">
        <v>6</v>
      </c>
      <c r="D565" s="409" t="s">
        <v>902</v>
      </c>
      <c r="E565" s="552"/>
      <c r="F565" s="577">
        <f>F566</f>
        <v>0</v>
      </c>
      <c r="G565" s="525"/>
      <c r="H565" s="545">
        <f t="shared" ref="H565:J566" si="100">H566</f>
        <v>6394.9</v>
      </c>
      <c r="I565" s="585"/>
      <c r="J565" s="577">
        <f t="shared" si="100"/>
        <v>8526.6</v>
      </c>
      <c r="K565" s="525"/>
      <c r="L565" s="114"/>
      <c r="N565" s="114"/>
      <c r="O565" s="114"/>
    </row>
    <row r="566" spans="1:15" s="103" customFormat="1" ht="31.5" x14ac:dyDescent="0.25">
      <c r="A566" s="294" t="s">
        <v>59</v>
      </c>
      <c r="B566" s="509" t="s">
        <v>4</v>
      </c>
      <c r="C566" s="297" t="s">
        <v>6</v>
      </c>
      <c r="D566" s="409" t="s">
        <v>902</v>
      </c>
      <c r="E566" s="552">
        <v>600</v>
      </c>
      <c r="F566" s="577">
        <f>F567</f>
        <v>0</v>
      </c>
      <c r="G566" s="525"/>
      <c r="H566" s="545">
        <f t="shared" si="100"/>
        <v>6394.9</v>
      </c>
      <c r="I566" s="585"/>
      <c r="J566" s="577">
        <f t="shared" si="100"/>
        <v>8526.6</v>
      </c>
      <c r="K566" s="525"/>
      <c r="L566" s="114"/>
      <c r="N566" s="114"/>
      <c r="O566" s="114"/>
    </row>
    <row r="567" spans="1:15" s="103" customFormat="1" x14ac:dyDescent="0.25">
      <c r="A567" s="294" t="s">
        <v>60</v>
      </c>
      <c r="B567" s="509" t="s">
        <v>4</v>
      </c>
      <c r="C567" s="297" t="s">
        <v>6</v>
      </c>
      <c r="D567" s="409" t="s">
        <v>902</v>
      </c>
      <c r="E567" s="552">
        <v>610</v>
      </c>
      <c r="F567" s="577">
        <f>'ведом. 2025-2027'!AD350</f>
        <v>0</v>
      </c>
      <c r="G567" s="441"/>
      <c r="H567" s="545">
        <f>'ведом. 2025-2027'!AE350</f>
        <v>6394.9</v>
      </c>
      <c r="I567" s="585"/>
      <c r="J567" s="577">
        <f>'ведом. 2025-2027'!AF350</f>
        <v>8526.6</v>
      </c>
      <c r="K567" s="525"/>
      <c r="L567" s="114"/>
      <c r="N567" s="114"/>
      <c r="O567" s="114"/>
    </row>
    <row r="568" spans="1:15" s="103" customFormat="1" ht="31.5" x14ac:dyDescent="0.25">
      <c r="A568" s="183" t="s">
        <v>573</v>
      </c>
      <c r="B568" s="132" t="s">
        <v>4</v>
      </c>
      <c r="C568" s="331" t="s">
        <v>6</v>
      </c>
      <c r="D568" s="116" t="s">
        <v>415</v>
      </c>
      <c r="E568" s="334"/>
      <c r="F568" s="577">
        <f>F569</f>
        <v>286360.7</v>
      </c>
      <c r="G568" s="527"/>
      <c r="H568" s="545">
        <f>H569</f>
        <v>281541.09999999998</v>
      </c>
      <c r="I568" s="587"/>
      <c r="J568" s="577">
        <f>J569</f>
        <v>293236.40000000002</v>
      </c>
      <c r="K568" s="527"/>
      <c r="L568" s="114"/>
      <c r="N568" s="114"/>
      <c r="O568" s="114"/>
    </row>
    <row r="569" spans="1:15" s="103" customFormat="1" ht="31.5" x14ac:dyDescent="0.25">
      <c r="A569" s="252" t="s">
        <v>59</v>
      </c>
      <c r="B569" s="132" t="s">
        <v>4</v>
      </c>
      <c r="C569" s="331" t="s">
        <v>6</v>
      </c>
      <c r="D569" s="116" t="s">
        <v>415</v>
      </c>
      <c r="E569" s="205">
        <v>600</v>
      </c>
      <c r="F569" s="577">
        <f>F570</f>
        <v>286360.7</v>
      </c>
      <c r="G569" s="527"/>
      <c r="H569" s="545">
        <f>H570</f>
        <v>281541.09999999998</v>
      </c>
      <c r="I569" s="587"/>
      <c r="J569" s="577">
        <f>J570</f>
        <v>293236.40000000002</v>
      </c>
      <c r="K569" s="527"/>
      <c r="L569" s="114"/>
      <c r="N569" s="114"/>
      <c r="O569" s="114"/>
    </row>
    <row r="570" spans="1:15" s="103" customFormat="1" x14ac:dyDescent="0.25">
      <c r="A570" s="252" t="s">
        <v>60</v>
      </c>
      <c r="B570" s="132" t="s">
        <v>4</v>
      </c>
      <c r="C570" s="331" t="s">
        <v>6</v>
      </c>
      <c r="D570" s="116" t="s">
        <v>415</v>
      </c>
      <c r="E570" s="334">
        <v>610</v>
      </c>
      <c r="F570" s="577">
        <f>'ведом. 2025-2027'!AD353</f>
        <v>286360.7</v>
      </c>
      <c r="G570" s="527"/>
      <c r="H570" s="545">
        <f>'ведом. 2025-2027'!AE353</f>
        <v>281541.09999999998</v>
      </c>
      <c r="I570" s="587"/>
      <c r="J570" s="577">
        <f>'ведом. 2025-2027'!AF353</f>
        <v>293236.40000000002</v>
      </c>
      <c r="K570" s="527"/>
      <c r="L570" s="114"/>
      <c r="N570" s="114"/>
      <c r="O570" s="114"/>
    </row>
    <row r="571" spans="1:15" s="103" customFormat="1" x14ac:dyDescent="0.25">
      <c r="A571" s="307" t="s">
        <v>639</v>
      </c>
      <c r="B571" s="132" t="s">
        <v>4</v>
      </c>
      <c r="C571" s="331" t="s">
        <v>6</v>
      </c>
      <c r="D571" s="416" t="s">
        <v>806</v>
      </c>
      <c r="E571" s="334"/>
      <c r="F571" s="577">
        <f>F572</f>
        <v>35037.299999999996</v>
      </c>
      <c r="G571" s="525"/>
      <c r="H571" s="545">
        <f>H572</f>
        <v>40122.300000000003</v>
      </c>
      <c r="I571" s="585"/>
      <c r="J571" s="577">
        <f>J572</f>
        <v>41727.300000000003</v>
      </c>
      <c r="K571" s="527"/>
      <c r="L571" s="114"/>
      <c r="N571" s="114"/>
      <c r="O571" s="114"/>
    </row>
    <row r="572" spans="1:15" s="103" customFormat="1" x14ac:dyDescent="0.25">
      <c r="A572" s="307" t="s">
        <v>391</v>
      </c>
      <c r="B572" s="509" t="s">
        <v>4</v>
      </c>
      <c r="C572" s="297" t="s">
        <v>6</v>
      </c>
      <c r="D572" s="416" t="s">
        <v>776</v>
      </c>
      <c r="E572" s="552"/>
      <c r="F572" s="577">
        <f>F573</f>
        <v>35037.299999999996</v>
      </c>
      <c r="G572" s="525"/>
      <c r="H572" s="545">
        <f t="shared" ref="H572:J573" si="101">H573</f>
        <v>40122.300000000003</v>
      </c>
      <c r="I572" s="585"/>
      <c r="J572" s="577">
        <f t="shared" si="101"/>
        <v>41727.300000000003</v>
      </c>
      <c r="K572" s="525"/>
      <c r="L572" s="114"/>
      <c r="N572" s="114"/>
      <c r="O572" s="114"/>
    </row>
    <row r="573" spans="1:15" s="103" customFormat="1" x14ac:dyDescent="0.25">
      <c r="A573" s="294" t="s">
        <v>118</v>
      </c>
      <c r="B573" s="509" t="s">
        <v>4</v>
      </c>
      <c r="C573" s="297" t="s">
        <v>6</v>
      </c>
      <c r="D573" s="416" t="s">
        <v>776</v>
      </c>
      <c r="E573" s="552">
        <v>200</v>
      </c>
      <c r="F573" s="577">
        <f>F574</f>
        <v>35037.299999999996</v>
      </c>
      <c r="G573" s="525"/>
      <c r="H573" s="545">
        <f t="shared" si="101"/>
        <v>40122.300000000003</v>
      </c>
      <c r="I573" s="585"/>
      <c r="J573" s="577">
        <f t="shared" si="101"/>
        <v>41727.300000000003</v>
      </c>
      <c r="K573" s="525"/>
      <c r="L573" s="114"/>
      <c r="N573" s="114"/>
      <c r="O573" s="114"/>
    </row>
    <row r="574" spans="1:15" s="103" customFormat="1" ht="31.5" x14ac:dyDescent="0.25">
      <c r="A574" s="294" t="s">
        <v>51</v>
      </c>
      <c r="B574" s="509" t="s">
        <v>4</v>
      </c>
      <c r="C574" s="297" t="s">
        <v>6</v>
      </c>
      <c r="D574" s="416" t="s">
        <v>776</v>
      </c>
      <c r="E574" s="552">
        <v>240</v>
      </c>
      <c r="F574" s="577">
        <f>'ведом. 2025-2027'!AD1042</f>
        <v>35037.299999999996</v>
      </c>
      <c r="G574" s="441"/>
      <c r="H574" s="545">
        <f>'ведом. 2025-2027'!AE1042</f>
        <v>40122.300000000003</v>
      </c>
      <c r="I574" s="585"/>
      <c r="J574" s="577">
        <f>'ведом. 2025-2027'!AF1042</f>
        <v>41727.300000000003</v>
      </c>
      <c r="K574" s="525"/>
      <c r="L574" s="114"/>
      <c r="N574" s="114"/>
      <c r="O574" s="114"/>
    </row>
    <row r="575" spans="1:15" s="103" customFormat="1" x14ac:dyDescent="0.25">
      <c r="A575" s="252" t="s">
        <v>26</v>
      </c>
      <c r="B575" s="132" t="s">
        <v>4</v>
      </c>
      <c r="C575" s="331" t="s">
        <v>4</v>
      </c>
      <c r="D575" s="21"/>
      <c r="E575" s="205"/>
      <c r="F575" s="575">
        <f t="shared" ref="F575:K575" si="102">F582+F576</f>
        <v>30952.800000000003</v>
      </c>
      <c r="G575" s="441">
        <f t="shared" si="102"/>
        <v>1612</v>
      </c>
      <c r="H575" s="460">
        <f t="shared" si="102"/>
        <v>30209.8</v>
      </c>
      <c r="I575" s="583">
        <f t="shared" si="102"/>
        <v>1614</v>
      </c>
      <c r="J575" s="575">
        <f t="shared" si="102"/>
        <v>30215.399999999998</v>
      </c>
      <c r="K575" s="441">
        <f t="shared" si="102"/>
        <v>1616</v>
      </c>
      <c r="L575" s="114"/>
      <c r="N575" s="114"/>
      <c r="O575" s="114"/>
    </row>
    <row r="576" spans="1:15" s="103" customFormat="1" x14ac:dyDescent="0.25">
      <c r="A576" s="299" t="s">
        <v>184</v>
      </c>
      <c r="B576" s="509" t="s">
        <v>4</v>
      </c>
      <c r="C576" s="297" t="s">
        <v>4</v>
      </c>
      <c r="D576" s="409" t="s">
        <v>110</v>
      </c>
      <c r="E576" s="551"/>
      <c r="F576" s="575">
        <f>F577</f>
        <v>124.39999999999999</v>
      </c>
      <c r="G576" s="441"/>
      <c r="H576" s="460">
        <f t="shared" ref="H576:J580" si="103">H577</f>
        <v>87.9</v>
      </c>
      <c r="I576" s="583"/>
      <c r="J576" s="575">
        <f t="shared" si="103"/>
        <v>91.5</v>
      </c>
      <c r="K576" s="441"/>
      <c r="L576" s="114"/>
      <c r="N576" s="114"/>
      <c r="O576" s="114"/>
    </row>
    <row r="577" spans="1:15" s="103" customFormat="1" x14ac:dyDescent="0.25">
      <c r="A577" s="299" t="s">
        <v>187</v>
      </c>
      <c r="B577" s="509" t="s">
        <v>4</v>
      </c>
      <c r="C577" s="297" t="s">
        <v>4</v>
      </c>
      <c r="D577" s="409" t="s">
        <v>188</v>
      </c>
      <c r="E577" s="551"/>
      <c r="F577" s="575">
        <f>F578</f>
        <v>124.39999999999999</v>
      </c>
      <c r="G577" s="441"/>
      <c r="H577" s="460">
        <f t="shared" si="103"/>
        <v>87.9</v>
      </c>
      <c r="I577" s="583"/>
      <c r="J577" s="575">
        <f t="shared" si="103"/>
        <v>91.5</v>
      </c>
      <c r="K577" s="441"/>
      <c r="L577" s="114"/>
      <c r="N577" s="114"/>
      <c r="O577" s="114"/>
    </row>
    <row r="578" spans="1:15" s="103" customFormat="1" ht="31.5" x14ac:dyDescent="0.25">
      <c r="A578" s="294" t="s">
        <v>529</v>
      </c>
      <c r="B578" s="509" t="s">
        <v>4</v>
      </c>
      <c r="C578" s="297" t="s">
        <v>4</v>
      </c>
      <c r="D578" s="503" t="s">
        <v>530</v>
      </c>
      <c r="E578" s="552"/>
      <c r="F578" s="575">
        <f>F579</f>
        <v>124.39999999999999</v>
      </c>
      <c r="G578" s="441"/>
      <c r="H578" s="460">
        <f t="shared" si="103"/>
        <v>87.9</v>
      </c>
      <c r="I578" s="583"/>
      <c r="J578" s="575">
        <f t="shared" si="103"/>
        <v>91.5</v>
      </c>
      <c r="K578" s="441"/>
      <c r="L578" s="114"/>
      <c r="N578" s="114"/>
      <c r="O578" s="114"/>
    </row>
    <row r="579" spans="1:15" s="103" customFormat="1" ht="78.75" x14ac:dyDescent="0.25">
      <c r="A579" s="294" t="s">
        <v>401</v>
      </c>
      <c r="B579" s="509" t="s">
        <v>4</v>
      </c>
      <c r="C579" s="297" t="s">
        <v>4</v>
      </c>
      <c r="D579" s="409" t="s">
        <v>531</v>
      </c>
      <c r="E579" s="552"/>
      <c r="F579" s="575">
        <f>F580</f>
        <v>124.39999999999999</v>
      </c>
      <c r="G579" s="441"/>
      <c r="H579" s="460">
        <f t="shared" si="103"/>
        <v>87.9</v>
      </c>
      <c r="I579" s="583"/>
      <c r="J579" s="575">
        <f t="shared" si="103"/>
        <v>91.5</v>
      </c>
      <c r="K579" s="441"/>
      <c r="L579" s="114"/>
      <c r="N579" s="114"/>
      <c r="O579" s="114"/>
    </row>
    <row r="580" spans="1:15" s="103" customFormat="1" x14ac:dyDescent="0.25">
      <c r="A580" s="294" t="s">
        <v>118</v>
      </c>
      <c r="B580" s="509" t="s">
        <v>4</v>
      </c>
      <c r="C580" s="297" t="s">
        <v>4</v>
      </c>
      <c r="D580" s="409" t="s">
        <v>531</v>
      </c>
      <c r="E580" s="552">
        <v>200</v>
      </c>
      <c r="F580" s="575">
        <f>F581</f>
        <v>124.39999999999999</v>
      </c>
      <c r="G580" s="441"/>
      <c r="H580" s="460">
        <f t="shared" si="103"/>
        <v>87.9</v>
      </c>
      <c r="I580" s="583"/>
      <c r="J580" s="575">
        <f t="shared" si="103"/>
        <v>91.5</v>
      </c>
      <c r="K580" s="441"/>
      <c r="L580" s="114"/>
      <c r="N580" s="114"/>
      <c r="O580" s="114"/>
    </row>
    <row r="581" spans="1:15" s="103" customFormat="1" ht="31.5" x14ac:dyDescent="0.25">
      <c r="A581" s="294" t="s">
        <v>51</v>
      </c>
      <c r="B581" s="509" t="s">
        <v>4</v>
      </c>
      <c r="C581" s="297" t="s">
        <v>4</v>
      </c>
      <c r="D581" s="409" t="s">
        <v>531</v>
      </c>
      <c r="E581" s="552">
        <v>240</v>
      </c>
      <c r="F581" s="575">
        <f>'ведом. 2025-2027'!AD1049</f>
        <v>124.39999999999999</v>
      </c>
      <c r="G581" s="441"/>
      <c r="H581" s="460">
        <f>'ведом. 2025-2027'!AE1049</f>
        <v>87.9</v>
      </c>
      <c r="I581" s="583"/>
      <c r="J581" s="575">
        <f>'ведом. 2025-2027'!AF1049</f>
        <v>91.5</v>
      </c>
      <c r="K581" s="441"/>
      <c r="L581" s="114"/>
      <c r="N581" s="114"/>
      <c r="O581" s="114"/>
    </row>
    <row r="582" spans="1:15" s="103" customFormat="1" x14ac:dyDescent="0.25">
      <c r="A582" s="182" t="s">
        <v>240</v>
      </c>
      <c r="B582" s="132" t="s">
        <v>4</v>
      </c>
      <c r="C582" s="331" t="s">
        <v>4</v>
      </c>
      <c r="D582" s="116" t="s">
        <v>241</v>
      </c>
      <c r="E582" s="334"/>
      <c r="F582" s="575">
        <f t="shared" ref="F582:K582" si="104">F583+F590</f>
        <v>30828.400000000001</v>
      </c>
      <c r="G582" s="441">
        <f t="shared" si="104"/>
        <v>1612</v>
      </c>
      <c r="H582" s="460">
        <f t="shared" si="104"/>
        <v>30121.899999999998</v>
      </c>
      <c r="I582" s="583">
        <f t="shared" si="104"/>
        <v>1614</v>
      </c>
      <c r="J582" s="575">
        <f t="shared" si="104"/>
        <v>30123.899999999998</v>
      </c>
      <c r="K582" s="441">
        <f t="shared" si="104"/>
        <v>1616</v>
      </c>
      <c r="L582" s="114"/>
      <c r="N582" s="114"/>
      <c r="O582" s="114"/>
    </row>
    <row r="583" spans="1:15" s="103" customFormat="1" ht="31.5" x14ac:dyDescent="0.25">
      <c r="A583" s="182" t="s">
        <v>535</v>
      </c>
      <c r="B583" s="132" t="s">
        <v>4</v>
      </c>
      <c r="C583" s="331" t="s">
        <v>4</v>
      </c>
      <c r="D583" s="116" t="s">
        <v>242</v>
      </c>
      <c r="E583" s="334"/>
      <c r="F583" s="575">
        <f>F584</f>
        <v>1612</v>
      </c>
      <c r="G583" s="441">
        <f t="shared" ref="G583:K584" si="105">G584</f>
        <v>1612</v>
      </c>
      <c r="H583" s="460">
        <f t="shared" si="105"/>
        <v>1614</v>
      </c>
      <c r="I583" s="583">
        <f t="shared" si="105"/>
        <v>1614</v>
      </c>
      <c r="J583" s="575">
        <f t="shared" si="105"/>
        <v>1616</v>
      </c>
      <c r="K583" s="441">
        <f t="shared" si="105"/>
        <v>1616</v>
      </c>
      <c r="L583" s="114"/>
      <c r="N583" s="114"/>
      <c r="O583" s="114"/>
    </row>
    <row r="584" spans="1:15" s="103" customFormat="1" ht="31.5" x14ac:dyDescent="0.25">
      <c r="A584" s="184" t="s">
        <v>341</v>
      </c>
      <c r="B584" s="132" t="s">
        <v>4</v>
      </c>
      <c r="C584" s="331" t="s">
        <v>4</v>
      </c>
      <c r="D584" s="116" t="s">
        <v>243</v>
      </c>
      <c r="E584" s="334"/>
      <c r="F584" s="575">
        <f>F585</f>
        <v>1612</v>
      </c>
      <c r="G584" s="441">
        <f t="shared" si="105"/>
        <v>1612</v>
      </c>
      <c r="H584" s="460">
        <f t="shared" si="105"/>
        <v>1614</v>
      </c>
      <c r="I584" s="583">
        <f t="shared" si="105"/>
        <v>1614</v>
      </c>
      <c r="J584" s="575">
        <f t="shared" si="105"/>
        <v>1616</v>
      </c>
      <c r="K584" s="441">
        <f t="shared" si="105"/>
        <v>1616</v>
      </c>
      <c r="L584" s="114"/>
      <c r="N584" s="114"/>
      <c r="O584" s="114"/>
    </row>
    <row r="585" spans="1:15" s="103" customFormat="1" ht="31.5" x14ac:dyDescent="0.25">
      <c r="A585" s="198" t="s">
        <v>324</v>
      </c>
      <c r="B585" s="132" t="s">
        <v>4</v>
      </c>
      <c r="C585" s="331" t="s">
        <v>4</v>
      </c>
      <c r="D585" s="116" t="s">
        <v>538</v>
      </c>
      <c r="E585" s="334"/>
      <c r="F585" s="575">
        <f t="shared" ref="F585:K585" si="106">F586+F588</f>
        <v>1612</v>
      </c>
      <c r="G585" s="441">
        <f t="shared" si="106"/>
        <v>1612</v>
      </c>
      <c r="H585" s="460">
        <f t="shared" si="106"/>
        <v>1614</v>
      </c>
      <c r="I585" s="583">
        <f t="shared" si="106"/>
        <v>1614</v>
      </c>
      <c r="J585" s="575">
        <f t="shared" si="106"/>
        <v>1616</v>
      </c>
      <c r="K585" s="441">
        <f t="shared" si="106"/>
        <v>1616</v>
      </c>
      <c r="L585" s="114"/>
      <c r="N585" s="114"/>
      <c r="O585" s="114"/>
    </row>
    <row r="586" spans="1:15" s="103" customFormat="1" ht="47.25" x14ac:dyDescent="0.25">
      <c r="A586" s="198" t="s">
        <v>40</v>
      </c>
      <c r="B586" s="132" t="s">
        <v>4</v>
      </c>
      <c r="C586" s="331" t="s">
        <v>4</v>
      </c>
      <c r="D586" s="116" t="s">
        <v>538</v>
      </c>
      <c r="E586" s="334">
        <v>100</v>
      </c>
      <c r="F586" s="575">
        <f t="shared" ref="F586:K586" si="107">F587</f>
        <v>1541</v>
      </c>
      <c r="G586" s="441">
        <f t="shared" si="107"/>
        <v>1541</v>
      </c>
      <c r="H586" s="460">
        <f t="shared" si="107"/>
        <v>1541</v>
      </c>
      <c r="I586" s="583">
        <f t="shared" si="107"/>
        <v>1541</v>
      </c>
      <c r="J586" s="575">
        <f t="shared" si="107"/>
        <v>1541</v>
      </c>
      <c r="K586" s="441">
        <f t="shared" si="107"/>
        <v>1541</v>
      </c>
      <c r="L586" s="114"/>
      <c r="N586" s="114"/>
      <c r="O586" s="114"/>
    </row>
    <row r="587" spans="1:15" s="103" customFormat="1" x14ac:dyDescent="0.25">
      <c r="A587" s="198" t="s">
        <v>94</v>
      </c>
      <c r="B587" s="132" t="s">
        <v>4</v>
      </c>
      <c r="C587" s="331" t="s">
        <v>4</v>
      </c>
      <c r="D587" s="116" t="s">
        <v>538</v>
      </c>
      <c r="E587" s="334">
        <v>120</v>
      </c>
      <c r="F587" s="575">
        <f>'ведом. 2025-2027'!AD1055</f>
        <v>1541</v>
      </c>
      <c r="G587" s="441">
        <f>F587</f>
        <v>1541</v>
      </c>
      <c r="H587" s="460">
        <f>'ведом. 2025-2027'!AE1055</f>
        <v>1541</v>
      </c>
      <c r="I587" s="583">
        <f>'ведом. 2025-2027'!AF1055</f>
        <v>1541</v>
      </c>
      <c r="J587" s="575">
        <f>'ведом. 2025-2027'!AF1055</f>
        <v>1541</v>
      </c>
      <c r="K587" s="441">
        <f>J587</f>
        <v>1541</v>
      </c>
      <c r="L587" s="114"/>
      <c r="N587" s="114"/>
      <c r="O587" s="114"/>
    </row>
    <row r="588" spans="1:15" s="103" customFormat="1" x14ac:dyDescent="0.25">
      <c r="A588" s="198" t="s">
        <v>118</v>
      </c>
      <c r="B588" s="132" t="s">
        <v>4</v>
      </c>
      <c r="C588" s="331" t="s">
        <v>4</v>
      </c>
      <c r="D588" s="116" t="s">
        <v>538</v>
      </c>
      <c r="E588" s="334">
        <v>200</v>
      </c>
      <c r="F588" s="575">
        <f t="shared" ref="F588:K588" si="108">F589</f>
        <v>71</v>
      </c>
      <c r="G588" s="441">
        <f t="shared" si="108"/>
        <v>71</v>
      </c>
      <c r="H588" s="460">
        <f t="shared" si="108"/>
        <v>73</v>
      </c>
      <c r="I588" s="583">
        <f t="shared" si="108"/>
        <v>73</v>
      </c>
      <c r="J588" s="575">
        <f t="shared" si="108"/>
        <v>75</v>
      </c>
      <c r="K588" s="441">
        <f t="shared" si="108"/>
        <v>75</v>
      </c>
      <c r="L588" s="114"/>
      <c r="N588" s="114"/>
      <c r="O588" s="114"/>
    </row>
    <row r="589" spans="1:15" s="103" customFormat="1" ht="31.5" x14ac:dyDescent="0.25">
      <c r="A589" s="198" t="s">
        <v>51</v>
      </c>
      <c r="B589" s="132" t="s">
        <v>4</v>
      </c>
      <c r="C589" s="331" t="s">
        <v>4</v>
      </c>
      <c r="D589" s="116" t="s">
        <v>538</v>
      </c>
      <c r="E589" s="334">
        <v>240</v>
      </c>
      <c r="F589" s="575">
        <f>'ведом. 2025-2027'!AD1057</f>
        <v>71</v>
      </c>
      <c r="G589" s="441">
        <f>F589</f>
        <v>71</v>
      </c>
      <c r="H589" s="460">
        <f>'ведом. 2025-2027'!AE1057</f>
        <v>73</v>
      </c>
      <c r="I589" s="583">
        <f>H589</f>
        <v>73</v>
      </c>
      <c r="J589" s="575">
        <f>'ведом. 2025-2027'!AF1057</f>
        <v>75</v>
      </c>
      <c r="K589" s="441">
        <f>J589</f>
        <v>75</v>
      </c>
      <c r="L589" s="114"/>
      <c r="N589" s="114"/>
      <c r="O589" s="114"/>
    </row>
    <row r="590" spans="1:15" s="103" customFormat="1" x14ac:dyDescent="0.25">
      <c r="A590" s="182" t="s">
        <v>187</v>
      </c>
      <c r="B590" s="132" t="s">
        <v>4</v>
      </c>
      <c r="C590" s="331" t="s">
        <v>4</v>
      </c>
      <c r="D590" s="116" t="s">
        <v>318</v>
      </c>
      <c r="E590" s="334"/>
      <c r="F590" s="575">
        <f t="shared" ref="F590:J591" si="109">F591</f>
        <v>29216.400000000001</v>
      </c>
      <c r="G590" s="441"/>
      <c r="H590" s="460">
        <f t="shared" si="109"/>
        <v>28507.899999999998</v>
      </c>
      <c r="I590" s="583"/>
      <c r="J590" s="575">
        <f t="shared" si="109"/>
        <v>28507.899999999998</v>
      </c>
      <c r="K590" s="441"/>
      <c r="L590" s="114"/>
      <c r="N590" s="114"/>
      <c r="O590" s="114"/>
    </row>
    <row r="591" spans="1:15" s="103" customFormat="1" ht="31.5" x14ac:dyDescent="0.25">
      <c r="A591" s="182" t="s">
        <v>189</v>
      </c>
      <c r="B591" s="132" t="s">
        <v>4</v>
      </c>
      <c r="C591" s="331" t="s">
        <v>4</v>
      </c>
      <c r="D591" s="116" t="s">
        <v>320</v>
      </c>
      <c r="E591" s="334"/>
      <c r="F591" s="575">
        <f>F592</f>
        <v>29216.400000000001</v>
      </c>
      <c r="G591" s="441"/>
      <c r="H591" s="460">
        <f t="shared" si="109"/>
        <v>28507.899999999998</v>
      </c>
      <c r="I591" s="583"/>
      <c r="J591" s="575">
        <f t="shared" si="109"/>
        <v>28507.899999999998</v>
      </c>
      <c r="K591" s="441"/>
      <c r="L591" s="114"/>
      <c r="N591" s="114"/>
      <c r="O591" s="114"/>
    </row>
    <row r="592" spans="1:15" s="103" customFormat="1" x14ac:dyDescent="0.25">
      <c r="A592" s="183" t="s">
        <v>203</v>
      </c>
      <c r="B592" s="132" t="s">
        <v>4</v>
      </c>
      <c r="C592" s="331" t="s">
        <v>4</v>
      </c>
      <c r="D592" s="116" t="s">
        <v>539</v>
      </c>
      <c r="E592" s="334"/>
      <c r="F592" s="575">
        <f>F593+F598+F601</f>
        <v>29216.400000000001</v>
      </c>
      <c r="G592" s="441"/>
      <c r="H592" s="460">
        <f>H593+H598+H601</f>
        <v>28507.899999999998</v>
      </c>
      <c r="I592" s="583"/>
      <c r="J592" s="575">
        <f>J593+J598+J601</f>
        <v>28507.899999999998</v>
      </c>
      <c r="K592" s="441"/>
      <c r="L592" s="114"/>
      <c r="N592" s="114"/>
      <c r="O592" s="114"/>
    </row>
    <row r="593" spans="1:24" s="103" customFormat="1" ht="31.5" x14ac:dyDescent="0.25">
      <c r="A593" s="252" t="s">
        <v>204</v>
      </c>
      <c r="B593" s="132" t="s">
        <v>4</v>
      </c>
      <c r="C593" s="331" t="s">
        <v>4</v>
      </c>
      <c r="D593" s="116" t="s">
        <v>540</v>
      </c>
      <c r="E593" s="222"/>
      <c r="F593" s="575">
        <f>F594+F596</f>
        <v>2285.8999999999996</v>
      </c>
      <c r="G593" s="441"/>
      <c r="H593" s="460">
        <f>H594+H596</f>
        <v>2325.6</v>
      </c>
      <c r="I593" s="583"/>
      <c r="J593" s="575">
        <f>J594+J596</f>
        <v>2325.6</v>
      </c>
      <c r="K593" s="441"/>
      <c r="L593" s="114"/>
      <c r="N593" s="114"/>
      <c r="O593" s="114"/>
    </row>
    <row r="594" spans="1:24" s="103" customFormat="1" x14ac:dyDescent="0.25">
      <c r="A594" s="252" t="s">
        <v>118</v>
      </c>
      <c r="B594" s="132" t="s">
        <v>4</v>
      </c>
      <c r="C594" s="331" t="s">
        <v>4</v>
      </c>
      <c r="D594" s="116" t="s">
        <v>540</v>
      </c>
      <c r="E594" s="334">
        <v>200</v>
      </c>
      <c r="F594" s="575">
        <f>F595</f>
        <v>2280.7999999999997</v>
      </c>
      <c r="G594" s="441"/>
      <c r="H594" s="460">
        <f>H595</f>
        <v>2325.6</v>
      </c>
      <c r="I594" s="583"/>
      <c r="J594" s="575">
        <f>J595</f>
        <v>2325.6</v>
      </c>
      <c r="K594" s="441"/>
      <c r="L594" s="114"/>
      <c r="N594" s="114"/>
      <c r="O594" s="114"/>
    </row>
    <row r="595" spans="1:24" s="103" customFormat="1" ht="31.5" x14ac:dyDescent="0.25">
      <c r="A595" s="252" t="s">
        <v>51</v>
      </c>
      <c r="B595" s="132" t="s">
        <v>4</v>
      </c>
      <c r="C595" s="331" t="s">
        <v>4</v>
      </c>
      <c r="D595" s="116" t="s">
        <v>540</v>
      </c>
      <c r="E595" s="334">
        <v>240</v>
      </c>
      <c r="F595" s="575">
        <f>'ведом. 2025-2027'!AD1063</f>
        <v>2280.7999999999997</v>
      </c>
      <c r="G595" s="441"/>
      <c r="H595" s="460">
        <f>'ведом. 2025-2027'!AE1063</f>
        <v>2325.6</v>
      </c>
      <c r="I595" s="583"/>
      <c r="J595" s="575">
        <f>'ведом. 2025-2027'!AF1063</f>
        <v>2325.6</v>
      </c>
      <c r="K595" s="441"/>
      <c r="L595" s="114"/>
      <c r="N595" s="114"/>
      <c r="O595" s="114"/>
    </row>
    <row r="596" spans="1:24" s="103" customFormat="1" x14ac:dyDescent="0.25">
      <c r="A596" s="294" t="s">
        <v>41</v>
      </c>
      <c r="B596" s="132" t="s">
        <v>4</v>
      </c>
      <c r="C596" s="331" t="s">
        <v>4</v>
      </c>
      <c r="D596" s="116" t="s">
        <v>540</v>
      </c>
      <c r="E596" s="334">
        <v>800</v>
      </c>
      <c r="F596" s="575">
        <f>F597</f>
        <v>5.0999999999999996</v>
      </c>
      <c r="G596" s="441"/>
      <c r="H596" s="460">
        <f>H597</f>
        <v>0</v>
      </c>
      <c r="I596" s="583"/>
      <c r="J596" s="575">
        <f>J597</f>
        <v>0</v>
      </c>
      <c r="K596" s="441"/>
      <c r="L596" s="114"/>
      <c r="N596" s="114"/>
      <c r="O596" s="114"/>
    </row>
    <row r="597" spans="1:24" s="103" customFormat="1" x14ac:dyDescent="0.25">
      <c r="A597" s="294" t="s">
        <v>56</v>
      </c>
      <c r="B597" s="132" t="s">
        <v>4</v>
      </c>
      <c r="C597" s="331" t="s">
        <v>4</v>
      </c>
      <c r="D597" s="116" t="s">
        <v>540</v>
      </c>
      <c r="E597" s="334">
        <v>850</v>
      </c>
      <c r="F597" s="575">
        <f>'ведом. 2025-2027'!AD1065</f>
        <v>5.0999999999999996</v>
      </c>
      <c r="G597" s="441"/>
      <c r="H597" s="460">
        <f>'ведом. 2025-2027'!AE1065</f>
        <v>0</v>
      </c>
      <c r="I597" s="583"/>
      <c r="J597" s="575">
        <f>'ведом. 2025-2027'!AF1065</f>
        <v>0</v>
      </c>
      <c r="K597" s="441"/>
      <c r="L597" s="114"/>
      <c r="N597" s="114"/>
      <c r="O597" s="114"/>
    </row>
    <row r="598" spans="1:24" s="103" customFormat="1" ht="31.5" x14ac:dyDescent="0.25">
      <c r="A598" s="252" t="s">
        <v>205</v>
      </c>
      <c r="B598" s="132" t="s">
        <v>4</v>
      </c>
      <c r="C598" s="331" t="s">
        <v>4</v>
      </c>
      <c r="D598" s="116" t="s">
        <v>541</v>
      </c>
      <c r="E598" s="222"/>
      <c r="F598" s="575">
        <f>F599</f>
        <v>17192.5</v>
      </c>
      <c r="G598" s="441"/>
      <c r="H598" s="460">
        <f>H599</f>
        <v>16444.3</v>
      </c>
      <c r="I598" s="583"/>
      <c r="J598" s="575">
        <f>J599</f>
        <v>16444.3</v>
      </c>
      <c r="K598" s="441"/>
      <c r="L598" s="114"/>
      <c r="N598" s="114"/>
      <c r="O598" s="114"/>
    </row>
    <row r="599" spans="1:24" s="103" customFormat="1" ht="47.25" x14ac:dyDescent="0.25">
      <c r="A599" s="252" t="s">
        <v>40</v>
      </c>
      <c r="B599" s="132" t="s">
        <v>4</v>
      </c>
      <c r="C599" s="331" t="s">
        <v>4</v>
      </c>
      <c r="D599" s="116" t="s">
        <v>541</v>
      </c>
      <c r="E599" s="334">
        <v>100</v>
      </c>
      <c r="F599" s="575">
        <f>F600</f>
        <v>17192.5</v>
      </c>
      <c r="G599" s="441"/>
      <c r="H599" s="460">
        <f>H600</f>
        <v>16444.3</v>
      </c>
      <c r="I599" s="583"/>
      <c r="J599" s="575">
        <f>J600</f>
        <v>16444.3</v>
      </c>
      <c r="K599" s="441"/>
      <c r="L599" s="114"/>
      <c r="N599" s="114"/>
      <c r="O599" s="114"/>
    </row>
    <row r="600" spans="1:24" s="103" customFormat="1" x14ac:dyDescent="0.25">
      <c r="A600" s="252" t="s">
        <v>94</v>
      </c>
      <c r="B600" s="132" t="s">
        <v>4</v>
      </c>
      <c r="C600" s="331" t="s">
        <v>4</v>
      </c>
      <c r="D600" s="116" t="s">
        <v>541</v>
      </c>
      <c r="E600" s="334">
        <v>120</v>
      </c>
      <c r="F600" s="575">
        <f>'ведом. 2025-2027'!AD1068</f>
        <v>17192.5</v>
      </c>
      <c r="G600" s="441"/>
      <c r="H600" s="460">
        <f>'ведом. 2025-2027'!AE1068</f>
        <v>16444.3</v>
      </c>
      <c r="I600" s="583"/>
      <c r="J600" s="575">
        <f>'ведом. 2025-2027'!AF1068</f>
        <v>16444.3</v>
      </c>
      <c r="K600" s="441"/>
      <c r="L600" s="114"/>
      <c r="N600" s="114"/>
      <c r="O600" s="114"/>
    </row>
    <row r="601" spans="1:24" s="103" customFormat="1" ht="31.5" x14ac:dyDescent="0.25">
      <c r="A601" s="252" t="s">
        <v>206</v>
      </c>
      <c r="B601" s="132" t="s">
        <v>4</v>
      </c>
      <c r="C601" s="331" t="s">
        <v>4</v>
      </c>
      <c r="D601" s="116" t="s">
        <v>542</v>
      </c>
      <c r="E601" s="222"/>
      <c r="F601" s="575">
        <f>F602</f>
        <v>9738</v>
      </c>
      <c r="G601" s="441"/>
      <c r="H601" s="460">
        <f>H602</f>
        <v>9738</v>
      </c>
      <c r="I601" s="583"/>
      <c r="J601" s="575">
        <f>J602</f>
        <v>9738</v>
      </c>
      <c r="K601" s="441"/>
      <c r="L601" s="114"/>
      <c r="N601" s="114"/>
      <c r="O601" s="114"/>
    </row>
    <row r="602" spans="1:24" s="103" customFormat="1" ht="47.25" x14ac:dyDescent="0.25">
      <c r="A602" s="252" t="s">
        <v>40</v>
      </c>
      <c r="B602" s="132" t="s">
        <v>4</v>
      </c>
      <c r="C602" s="331" t="s">
        <v>4</v>
      </c>
      <c r="D602" s="116" t="s">
        <v>542</v>
      </c>
      <c r="E602" s="334">
        <v>100</v>
      </c>
      <c r="F602" s="575">
        <f>F603</f>
        <v>9738</v>
      </c>
      <c r="G602" s="441"/>
      <c r="H602" s="460">
        <f>H603</f>
        <v>9738</v>
      </c>
      <c r="I602" s="583"/>
      <c r="J602" s="575">
        <f>J603</f>
        <v>9738</v>
      </c>
      <c r="K602" s="441"/>
      <c r="L602" s="114"/>
      <c r="N602" s="114"/>
      <c r="O602" s="114"/>
    </row>
    <row r="603" spans="1:24" s="115" customFormat="1" ht="17.25" thickBot="1" x14ac:dyDescent="0.3">
      <c r="A603" s="617" t="s">
        <v>94</v>
      </c>
      <c r="B603" s="505" t="s">
        <v>4</v>
      </c>
      <c r="C603" s="506" t="s">
        <v>4</v>
      </c>
      <c r="D603" s="629" t="s">
        <v>542</v>
      </c>
      <c r="E603" s="626">
        <v>120</v>
      </c>
      <c r="F603" s="612">
        <f>'ведом. 2025-2027'!AD1071</f>
        <v>9738</v>
      </c>
      <c r="G603" s="613"/>
      <c r="H603" s="614">
        <f>'ведом. 2025-2027'!AE1071</f>
        <v>9738</v>
      </c>
      <c r="I603" s="615"/>
      <c r="J603" s="612">
        <f>'ведом. 2025-2027'!AF1071</f>
        <v>9738</v>
      </c>
      <c r="K603" s="613"/>
      <c r="L603" s="114"/>
      <c r="N603" s="114"/>
      <c r="O603" s="114"/>
      <c r="R603" s="18"/>
      <c r="S603" s="144"/>
      <c r="T603" s="145"/>
      <c r="U603" s="145"/>
      <c r="V603" s="146"/>
      <c r="W603" s="146"/>
      <c r="X603" s="147"/>
    </row>
    <row r="604" spans="1:24" s="115" customFormat="1" ht="17.25" thickBot="1" x14ac:dyDescent="0.3">
      <c r="A604" s="631" t="s">
        <v>38</v>
      </c>
      <c r="B604" s="616" t="s">
        <v>93</v>
      </c>
      <c r="C604" s="632"/>
      <c r="D604" s="229"/>
      <c r="E604" s="633"/>
      <c r="F604" s="634">
        <f>F605+F615</f>
        <v>825104</v>
      </c>
      <c r="G604" s="635">
        <f>G605+G615</f>
        <v>816710.4</v>
      </c>
      <c r="H604" s="636">
        <f>H605+H615</f>
        <v>134</v>
      </c>
      <c r="I604" s="637"/>
      <c r="J604" s="634">
        <f>J605+J615</f>
        <v>134</v>
      </c>
      <c r="K604" s="635"/>
      <c r="L604" s="114"/>
      <c r="N604" s="114"/>
      <c r="O604" s="114"/>
      <c r="R604" s="18"/>
      <c r="S604" s="144"/>
      <c r="T604" s="145"/>
      <c r="U604" s="145"/>
      <c r="V604" s="146"/>
      <c r="W604" s="146"/>
      <c r="X604" s="147"/>
    </row>
    <row r="605" spans="1:24" s="115" customFormat="1" x14ac:dyDescent="0.25">
      <c r="A605" s="254" t="s">
        <v>90</v>
      </c>
      <c r="B605" s="622" t="s">
        <v>93</v>
      </c>
      <c r="C605" s="508" t="s">
        <v>29</v>
      </c>
      <c r="D605" s="593"/>
      <c r="E605" s="630"/>
      <c r="F605" s="595">
        <f t="shared" ref="F605:H606" si="110">F606</f>
        <v>824970</v>
      </c>
      <c r="G605" s="596">
        <f t="shared" si="110"/>
        <v>816710.4</v>
      </c>
      <c r="H605" s="597">
        <f t="shared" si="110"/>
        <v>0</v>
      </c>
      <c r="I605" s="598"/>
      <c r="J605" s="595">
        <f t="shared" ref="J605:J613" si="111">J606</f>
        <v>0</v>
      </c>
      <c r="K605" s="596"/>
      <c r="L605" s="114"/>
      <c r="N605" s="114"/>
      <c r="O605" s="114"/>
      <c r="R605" s="18"/>
      <c r="S605" s="144"/>
      <c r="T605" s="145"/>
      <c r="U605" s="145"/>
      <c r="V605" s="146"/>
      <c r="W605" s="146"/>
      <c r="X605" s="147"/>
    </row>
    <row r="606" spans="1:24" s="115" customFormat="1" ht="31.5" x14ac:dyDescent="0.25">
      <c r="A606" s="182" t="s">
        <v>586</v>
      </c>
      <c r="B606" s="9" t="s">
        <v>93</v>
      </c>
      <c r="C606" s="331" t="s">
        <v>29</v>
      </c>
      <c r="D606" s="116" t="s">
        <v>109</v>
      </c>
      <c r="E606" s="334"/>
      <c r="F606" s="575">
        <f t="shared" si="110"/>
        <v>824970</v>
      </c>
      <c r="G606" s="441">
        <f t="shared" si="110"/>
        <v>816710.4</v>
      </c>
      <c r="H606" s="460">
        <f t="shared" si="110"/>
        <v>0</v>
      </c>
      <c r="I606" s="583"/>
      <c r="J606" s="575">
        <f t="shared" si="111"/>
        <v>0</v>
      </c>
      <c r="K606" s="441"/>
      <c r="L606" s="114"/>
      <c r="N606" s="114"/>
      <c r="O606" s="114"/>
      <c r="R606" s="18"/>
      <c r="S606" s="144"/>
      <c r="T606" s="145"/>
      <c r="U606" s="145"/>
      <c r="V606" s="146"/>
      <c r="W606" s="146"/>
      <c r="X606" s="147"/>
    </row>
    <row r="607" spans="1:24" s="115" customFormat="1" x14ac:dyDescent="0.25">
      <c r="A607" s="182" t="s">
        <v>578</v>
      </c>
      <c r="B607" s="9" t="s">
        <v>93</v>
      </c>
      <c r="C607" s="331" t="s">
        <v>29</v>
      </c>
      <c r="D607" s="116" t="s">
        <v>579</v>
      </c>
      <c r="E607" s="334"/>
      <c r="F607" s="575">
        <f>F608+F612</f>
        <v>824970</v>
      </c>
      <c r="G607" s="441">
        <f>G608+G612</f>
        <v>816710.4</v>
      </c>
      <c r="H607" s="460">
        <f>H608+H612</f>
        <v>0</v>
      </c>
      <c r="I607" s="583"/>
      <c r="J607" s="575">
        <f>J608+J612</f>
        <v>0</v>
      </c>
      <c r="K607" s="441"/>
      <c r="L607" s="114"/>
      <c r="N607" s="114"/>
      <c r="O607" s="114"/>
      <c r="R607" s="18"/>
      <c r="S607" s="144"/>
      <c r="T607" s="145"/>
      <c r="U607" s="145"/>
      <c r="V607" s="146"/>
      <c r="W607" s="146"/>
      <c r="X607" s="147"/>
    </row>
    <row r="608" spans="1:24" s="115" customFormat="1" ht="47.25" x14ac:dyDescent="0.25">
      <c r="A608" s="301" t="s">
        <v>742</v>
      </c>
      <c r="B608" s="295" t="s">
        <v>93</v>
      </c>
      <c r="C608" s="297" t="s">
        <v>29</v>
      </c>
      <c r="D608" s="409" t="s">
        <v>743</v>
      </c>
      <c r="E608" s="552"/>
      <c r="F608" s="575">
        <f>F609</f>
        <v>10</v>
      </c>
      <c r="G608" s="441"/>
      <c r="H608" s="460">
        <f t="shared" ref="H608:J610" si="112">H609</f>
        <v>0</v>
      </c>
      <c r="I608" s="583"/>
      <c r="J608" s="575">
        <f t="shared" si="112"/>
        <v>0</v>
      </c>
      <c r="K608" s="441"/>
      <c r="L608" s="114"/>
      <c r="N608" s="114"/>
      <c r="O608" s="114"/>
      <c r="R608" s="18"/>
      <c r="S608" s="144"/>
      <c r="T608" s="145"/>
      <c r="U608" s="145"/>
      <c r="V608" s="146"/>
      <c r="W608" s="146"/>
      <c r="X608" s="147"/>
    </row>
    <row r="609" spans="1:24" s="115" customFormat="1" ht="31.5" x14ac:dyDescent="0.25">
      <c r="A609" s="301" t="s">
        <v>740</v>
      </c>
      <c r="B609" s="295" t="s">
        <v>93</v>
      </c>
      <c r="C609" s="297" t="s">
        <v>29</v>
      </c>
      <c r="D609" s="409" t="s">
        <v>741</v>
      </c>
      <c r="E609" s="552"/>
      <c r="F609" s="575">
        <f>F610</f>
        <v>10</v>
      </c>
      <c r="G609" s="441"/>
      <c r="H609" s="460">
        <f t="shared" si="112"/>
        <v>0</v>
      </c>
      <c r="I609" s="583"/>
      <c r="J609" s="575">
        <f t="shared" si="112"/>
        <v>0</v>
      </c>
      <c r="K609" s="441"/>
      <c r="L609" s="114"/>
      <c r="N609" s="114"/>
      <c r="O609" s="114"/>
      <c r="R609" s="18"/>
      <c r="S609" s="144"/>
      <c r="T609" s="145"/>
      <c r="U609" s="145"/>
      <c r="V609" s="146"/>
      <c r="W609" s="146"/>
      <c r="X609" s="147"/>
    </row>
    <row r="610" spans="1:24" s="115" customFormat="1" x14ac:dyDescent="0.25">
      <c r="A610" s="294" t="s">
        <v>118</v>
      </c>
      <c r="B610" s="295" t="s">
        <v>93</v>
      </c>
      <c r="C610" s="297" t="s">
        <v>29</v>
      </c>
      <c r="D610" s="409" t="s">
        <v>741</v>
      </c>
      <c r="E610" s="552">
        <v>200</v>
      </c>
      <c r="F610" s="575">
        <f>F611</f>
        <v>10</v>
      </c>
      <c r="G610" s="441"/>
      <c r="H610" s="460">
        <f t="shared" si="112"/>
        <v>0</v>
      </c>
      <c r="I610" s="583"/>
      <c r="J610" s="575">
        <f t="shared" si="112"/>
        <v>0</v>
      </c>
      <c r="K610" s="441"/>
      <c r="L610" s="114"/>
      <c r="N610" s="114"/>
      <c r="O610" s="114"/>
      <c r="R610" s="18"/>
      <c r="S610" s="144"/>
      <c r="T610" s="145"/>
      <c r="U610" s="145"/>
      <c r="V610" s="146"/>
      <c r="W610" s="146"/>
      <c r="X610" s="147"/>
    </row>
    <row r="611" spans="1:24" s="115" customFormat="1" ht="16.5" customHeight="1" x14ac:dyDescent="0.25">
      <c r="A611" s="294" t="s">
        <v>51</v>
      </c>
      <c r="B611" s="295" t="s">
        <v>93</v>
      </c>
      <c r="C611" s="297" t="s">
        <v>29</v>
      </c>
      <c r="D611" s="409" t="s">
        <v>741</v>
      </c>
      <c r="E611" s="552">
        <v>240</v>
      </c>
      <c r="F611" s="575">
        <f>'ведом. 2025-2027'!AD1079</f>
        <v>10</v>
      </c>
      <c r="G611" s="441"/>
      <c r="H611" s="460">
        <f>'ведом. 2025-2027'!AE1079</f>
        <v>0</v>
      </c>
      <c r="I611" s="583"/>
      <c r="J611" s="575">
        <f>'ведом. 2025-2027'!AF1079</f>
        <v>0</v>
      </c>
      <c r="K611" s="441"/>
      <c r="L611" s="114"/>
      <c r="N611" s="114"/>
      <c r="O611" s="114"/>
      <c r="R611" s="18"/>
      <c r="S611" s="144"/>
      <c r="T611" s="145"/>
      <c r="U611" s="145"/>
      <c r="V611" s="146"/>
      <c r="W611" s="146"/>
      <c r="X611" s="147"/>
    </row>
    <row r="612" spans="1:24" s="115" customFormat="1" ht="47.25" x14ac:dyDescent="0.25">
      <c r="A612" s="449" t="s">
        <v>760</v>
      </c>
      <c r="B612" s="9" t="s">
        <v>93</v>
      </c>
      <c r="C612" s="331" t="s">
        <v>29</v>
      </c>
      <c r="D612" s="409" t="s">
        <v>761</v>
      </c>
      <c r="E612" s="207"/>
      <c r="F612" s="575">
        <f t="shared" ref="F612:H613" si="113">F613</f>
        <v>824960</v>
      </c>
      <c r="G612" s="441">
        <f t="shared" si="113"/>
        <v>816710.4</v>
      </c>
      <c r="H612" s="460">
        <f t="shared" si="113"/>
        <v>0</v>
      </c>
      <c r="I612" s="583"/>
      <c r="J612" s="575">
        <f t="shared" si="111"/>
        <v>0</v>
      </c>
      <c r="K612" s="441"/>
      <c r="L612" s="114"/>
      <c r="N612" s="114"/>
      <c r="O612" s="114"/>
      <c r="R612" s="18"/>
      <c r="S612" s="144"/>
      <c r="T612" s="145"/>
      <c r="U612" s="145"/>
      <c r="V612" s="146"/>
      <c r="W612" s="146"/>
      <c r="X612" s="147"/>
    </row>
    <row r="613" spans="1:24" s="115" customFormat="1" x14ac:dyDescent="0.25">
      <c r="A613" s="255" t="s">
        <v>151</v>
      </c>
      <c r="B613" s="9" t="s">
        <v>93</v>
      </c>
      <c r="C613" s="331" t="s">
        <v>29</v>
      </c>
      <c r="D613" s="409" t="s">
        <v>761</v>
      </c>
      <c r="E613" s="207" t="s">
        <v>152</v>
      </c>
      <c r="F613" s="575">
        <f t="shared" si="113"/>
        <v>824960</v>
      </c>
      <c r="G613" s="441">
        <f t="shared" si="113"/>
        <v>816710.4</v>
      </c>
      <c r="H613" s="460">
        <f t="shared" si="113"/>
        <v>0</v>
      </c>
      <c r="I613" s="583"/>
      <c r="J613" s="575">
        <f t="shared" si="111"/>
        <v>0</v>
      </c>
      <c r="K613" s="441"/>
      <c r="L613" s="114"/>
      <c r="N613" s="114"/>
      <c r="O613" s="114"/>
      <c r="R613" s="18"/>
      <c r="S613" s="144"/>
      <c r="T613" s="145"/>
      <c r="U613" s="145"/>
      <c r="V613" s="146"/>
      <c r="W613" s="146"/>
      <c r="X613" s="147"/>
    </row>
    <row r="614" spans="1:24" s="115" customFormat="1" x14ac:dyDescent="0.25">
      <c r="A614" s="255" t="s">
        <v>8</v>
      </c>
      <c r="B614" s="9" t="s">
        <v>93</v>
      </c>
      <c r="C614" s="331" t="s">
        <v>29</v>
      </c>
      <c r="D614" s="409" t="s">
        <v>761</v>
      </c>
      <c r="E614" s="207" t="s">
        <v>153</v>
      </c>
      <c r="F614" s="575">
        <f>'ведом. 2025-2027'!AD1082</f>
        <v>824960</v>
      </c>
      <c r="G614" s="441">
        <v>816710.4</v>
      </c>
      <c r="H614" s="460">
        <f>'ведом. 2025-2027'!AE1082</f>
        <v>0</v>
      </c>
      <c r="I614" s="583"/>
      <c r="J614" s="575">
        <f>'ведом. 2025-2027'!AF1082</f>
        <v>0</v>
      </c>
      <c r="K614" s="441"/>
      <c r="L614" s="114"/>
      <c r="N614" s="114"/>
      <c r="O614" s="114"/>
      <c r="R614" s="18"/>
      <c r="S614" s="144"/>
      <c r="T614" s="145"/>
      <c r="U614" s="145"/>
      <c r="V614" s="146"/>
      <c r="W614" s="146"/>
      <c r="X614" s="147"/>
    </row>
    <row r="615" spans="1:24" s="115" customFormat="1" x14ac:dyDescent="0.25">
      <c r="A615" s="255" t="s">
        <v>681</v>
      </c>
      <c r="B615" s="9" t="s">
        <v>93</v>
      </c>
      <c r="C615" s="331" t="s">
        <v>4</v>
      </c>
      <c r="D615" s="116"/>
      <c r="E615" s="334"/>
      <c r="F615" s="575">
        <f>F616</f>
        <v>134</v>
      </c>
      <c r="G615" s="441"/>
      <c r="H615" s="460">
        <f>H616</f>
        <v>134</v>
      </c>
      <c r="I615" s="583"/>
      <c r="J615" s="575">
        <f>J616</f>
        <v>134</v>
      </c>
      <c r="K615" s="441"/>
      <c r="L615" s="114"/>
      <c r="N615" s="114"/>
      <c r="O615" s="114"/>
      <c r="R615" s="18"/>
      <c r="S615" s="144"/>
      <c r="T615" s="145"/>
      <c r="U615" s="145"/>
      <c r="V615" s="146"/>
      <c r="W615" s="146"/>
      <c r="X615" s="147"/>
    </row>
    <row r="616" spans="1:24" s="115" customFormat="1" x14ac:dyDescent="0.25">
      <c r="A616" s="255" t="s">
        <v>682</v>
      </c>
      <c r="B616" s="9" t="s">
        <v>93</v>
      </c>
      <c r="C616" s="331" t="s">
        <v>4</v>
      </c>
      <c r="D616" s="116" t="s">
        <v>683</v>
      </c>
      <c r="E616" s="334"/>
      <c r="F616" s="575">
        <f t="shared" ref="F616:F620" si="114">F617</f>
        <v>134</v>
      </c>
      <c r="G616" s="441"/>
      <c r="H616" s="460">
        <f t="shared" ref="H616:J620" si="115">H617</f>
        <v>134</v>
      </c>
      <c r="I616" s="583"/>
      <c r="J616" s="575">
        <f t="shared" si="115"/>
        <v>134</v>
      </c>
      <c r="K616" s="441"/>
      <c r="L616" s="114"/>
      <c r="N616" s="114"/>
      <c r="O616" s="114"/>
      <c r="R616" s="18"/>
      <c r="S616" s="144"/>
      <c r="T616" s="145"/>
      <c r="U616" s="145"/>
      <c r="V616" s="146"/>
      <c r="W616" s="146"/>
      <c r="X616" s="147"/>
    </row>
    <row r="617" spans="1:24" s="115" customFormat="1" x14ac:dyDescent="0.25">
      <c r="A617" s="255" t="s">
        <v>684</v>
      </c>
      <c r="B617" s="9" t="s">
        <v>93</v>
      </c>
      <c r="C617" s="331" t="s">
        <v>4</v>
      </c>
      <c r="D617" s="116" t="s">
        <v>685</v>
      </c>
      <c r="E617" s="334"/>
      <c r="F617" s="575">
        <f t="shared" si="114"/>
        <v>134</v>
      </c>
      <c r="G617" s="441"/>
      <c r="H617" s="460">
        <f t="shared" si="115"/>
        <v>134</v>
      </c>
      <c r="I617" s="583"/>
      <c r="J617" s="575">
        <f t="shared" si="115"/>
        <v>134</v>
      </c>
      <c r="K617" s="441"/>
      <c r="L617" s="114"/>
      <c r="N617" s="114"/>
      <c r="O617" s="114"/>
      <c r="R617" s="18"/>
      <c r="S617" s="144"/>
      <c r="T617" s="145"/>
      <c r="U617" s="145"/>
      <c r="V617" s="146"/>
      <c r="W617" s="146"/>
      <c r="X617" s="147"/>
    </row>
    <row r="618" spans="1:24" s="115" customFormat="1" x14ac:dyDescent="0.25">
      <c r="A618" s="255" t="s">
        <v>686</v>
      </c>
      <c r="B618" s="9" t="s">
        <v>93</v>
      </c>
      <c r="C618" s="331" t="s">
        <v>4</v>
      </c>
      <c r="D618" s="116" t="s">
        <v>687</v>
      </c>
      <c r="E618" s="334"/>
      <c r="F618" s="575">
        <f>F619</f>
        <v>134</v>
      </c>
      <c r="G618" s="441"/>
      <c r="H618" s="460">
        <f t="shared" si="115"/>
        <v>134</v>
      </c>
      <c r="I618" s="583"/>
      <c r="J618" s="575">
        <f t="shared" si="115"/>
        <v>134</v>
      </c>
      <c r="K618" s="441"/>
      <c r="L618" s="114"/>
      <c r="N618" s="114"/>
      <c r="O618" s="114"/>
      <c r="R618" s="18"/>
      <c r="S618" s="144"/>
      <c r="T618" s="145"/>
      <c r="U618" s="145"/>
      <c r="V618" s="146"/>
      <c r="W618" s="146"/>
      <c r="X618" s="147"/>
    </row>
    <row r="619" spans="1:24" s="115" customFormat="1" ht="31.5" x14ac:dyDescent="0.25">
      <c r="A619" s="255" t="s">
        <v>735</v>
      </c>
      <c r="B619" s="9" t="s">
        <v>93</v>
      </c>
      <c r="C619" s="331" t="s">
        <v>4</v>
      </c>
      <c r="D619" s="116" t="s">
        <v>688</v>
      </c>
      <c r="E619" s="334"/>
      <c r="F619" s="575">
        <f>F620</f>
        <v>134</v>
      </c>
      <c r="G619" s="441"/>
      <c r="H619" s="460">
        <f>H620</f>
        <v>134</v>
      </c>
      <c r="I619" s="583"/>
      <c r="J619" s="575">
        <f>J620</f>
        <v>134</v>
      </c>
      <c r="K619" s="441"/>
      <c r="L619" s="114"/>
      <c r="N619" s="114"/>
      <c r="O619" s="114"/>
      <c r="R619" s="18"/>
      <c r="S619" s="144"/>
      <c r="T619" s="145"/>
      <c r="U619" s="145"/>
      <c r="V619" s="146"/>
      <c r="W619" s="146"/>
      <c r="X619" s="147"/>
    </row>
    <row r="620" spans="1:24" s="115" customFormat="1" ht="31.5" x14ac:dyDescent="0.25">
      <c r="A620" s="255" t="s">
        <v>59</v>
      </c>
      <c r="B620" s="9" t="s">
        <v>93</v>
      </c>
      <c r="C620" s="331" t="s">
        <v>4</v>
      </c>
      <c r="D620" s="116" t="s">
        <v>688</v>
      </c>
      <c r="E620" s="334">
        <v>600</v>
      </c>
      <c r="F620" s="575">
        <f t="shared" si="114"/>
        <v>134</v>
      </c>
      <c r="G620" s="441"/>
      <c r="H620" s="460">
        <f t="shared" si="115"/>
        <v>134</v>
      </c>
      <c r="I620" s="583"/>
      <c r="J620" s="575">
        <f t="shared" si="115"/>
        <v>134</v>
      </c>
      <c r="K620" s="441"/>
      <c r="L620" s="114"/>
      <c r="N620" s="114"/>
      <c r="O620" s="114"/>
      <c r="R620" s="18"/>
      <c r="S620" s="144"/>
      <c r="T620" s="145"/>
      <c r="U620" s="145"/>
      <c r="V620" s="146"/>
      <c r="W620" s="146"/>
      <c r="X620" s="147"/>
    </row>
    <row r="621" spans="1:24" s="115" customFormat="1" ht="17.25" thickBot="1" x14ac:dyDescent="0.3">
      <c r="A621" s="607" t="s">
        <v>60</v>
      </c>
      <c r="B621" s="638" t="s">
        <v>93</v>
      </c>
      <c r="C621" s="506" t="s">
        <v>4</v>
      </c>
      <c r="D621" s="629" t="s">
        <v>688</v>
      </c>
      <c r="E621" s="626">
        <v>610</v>
      </c>
      <c r="F621" s="612">
        <f>'ведом. 2025-2027'!AD361</f>
        <v>134</v>
      </c>
      <c r="G621" s="613"/>
      <c r="H621" s="614">
        <f>'ведом. 2025-2027'!AE361</f>
        <v>134</v>
      </c>
      <c r="I621" s="615"/>
      <c r="J621" s="612">
        <f>'ведом. 2025-2027'!AF361</f>
        <v>134</v>
      </c>
      <c r="K621" s="613"/>
      <c r="L621" s="114"/>
      <c r="N621" s="114"/>
      <c r="O621" s="114"/>
      <c r="R621" s="18"/>
      <c r="S621" s="144"/>
      <c r="T621" s="145"/>
      <c r="U621" s="145"/>
      <c r="V621" s="146"/>
      <c r="W621" s="146"/>
      <c r="X621" s="147"/>
    </row>
    <row r="622" spans="1:24" s="103" customFormat="1" ht="17.25" thickBot="1" x14ac:dyDescent="0.3">
      <c r="A622" s="258" t="s">
        <v>3</v>
      </c>
      <c r="B622" s="616" t="s">
        <v>7</v>
      </c>
      <c r="C622" s="640"/>
      <c r="D622" s="601"/>
      <c r="E622" s="602"/>
      <c r="F622" s="603">
        <f t="shared" ref="F622:K622" si="116">F623+F647+F715+F760+F784</f>
        <v>1482097.7000000002</v>
      </c>
      <c r="G622" s="604">
        <f t="shared" si="116"/>
        <v>912650.20000000007</v>
      </c>
      <c r="H622" s="605">
        <f t="shared" si="116"/>
        <v>1344677</v>
      </c>
      <c r="I622" s="606">
        <f t="shared" si="116"/>
        <v>881357.4</v>
      </c>
      <c r="J622" s="603">
        <f t="shared" si="116"/>
        <v>1341475.8</v>
      </c>
      <c r="K622" s="604">
        <f t="shared" si="116"/>
        <v>869933.4</v>
      </c>
      <c r="L622" s="114"/>
      <c r="N622" s="114"/>
      <c r="O622" s="114"/>
    </row>
    <row r="623" spans="1:24" s="103" customFormat="1" x14ac:dyDescent="0.25">
      <c r="A623" s="592" t="s">
        <v>18</v>
      </c>
      <c r="B623" s="507" t="s">
        <v>7</v>
      </c>
      <c r="C623" s="508" t="s">
        <v>28</v>
      </c>
      <c r="D623" s="639"/>
      <c r="E623" s="594"/>
      <c r="F623" s="595">
        <f t="shared" ref="F623:K624" si="117">F624</f>
        <v>474623.4</v>
      </c>
      <c r="G623" s="596">
        <f t="shared" si="117"/>
        <v>273418</v>
      </c>
      <c r="H623" s="597">
        <f t="shared" si="117"/>
        <v>461823.3</v>
      </c>
      <c r="I623" s="598">
        <f t="shared" si="117"/>
        <v>273752</v>
      </c>
      <c r="J623" s="595">
        <f t="shared" si="117"/>
        <v>467723.5</v>
      </c>
      <c r="K623" s="596">
        <f t="shared" si="117"/>
        <v>273752</v>
      </c>
      <c r="L623" s="114"/>
      <c r="N623" s="114"/>
      <c r="O623" s="114"/>
    </row>
    <row r="624" spans="1:24" s="103" customFormat="1" x14ac:dyDescent="0.25">
      <c r="A624" s="182" t="s">
        <v>260</v>
      </c>
      <c r="B624" s="136" t="s">
        <v>7</v>
      </c>
      <c r="C624" s="331" t="s">
        <v>28</v>
      </c>
      <c r="D624" s="116" t="s">
        <v>98</v>
      </c>
      <c r="E624" s="205"/>
      <c r="F624" s="575">
        <f t="shared" si="117"/>
        <v>474623.4</v>
      </c>
      <c r="G624" s="441">
        <f t="shared" si="117"/>
        <v>273418</v>
      </c>
      <c r="H624" s="460">
        <f t="shared" si="117"/>
        <v>461823.3</v>
      </c>
      <c r="I624" s="583">
        <f t="shared" si="117"/>
        <v>273752</v>
      </c>
      <c r="J624" s="575">
        <f t="shared" si="117"/>
        <v>467723.5</v>
      </c>
      <c r="K624" s="441">
        <f t="shared" si="117"/>
        <v>273752</v>
      </c>
      <c r="L624" s="114"/>
      <c r="N624" s="114"/>
      <c r="O624" s="114"/>
    </row>
    <row r="625" spans="1:15" s="103" customFormat="1" x14ac:dyDescent="0.25">
      <c r="A625" s="182" t="s">
        <v>263</v>
      </c>
      <c r="B625" s="136" t="s">
        <v>7</v>
      </c>
      <c r="C625" s="331" t="s">
        <v>28</v>
      </c>
      <c r="D625" s="116" t="s">
        <v>115</v>
      </c>
      <c r="E625" s="334"/>
      <c r="F625" s="575">
        <f t="shared" ref="F625:K625" si="118">F626+F643</f>
        <v>474623.4</v>
      </c>
      <c r="G625" s="441">
        <f t="shared" si="118"/>
        <v>273418</v>
      </c>
      <c r="H625" s="460">
        <f t="shared" si="118"/>
        <v>461823.3</v>
      </c>
      <c r="I625" s="583">
        <f t="shared" si="118"/>
        <v>273752</v>
      </c>
      <c r="J625" s="575">
        <f t="shared" si="118"/>
        <v>467723.5</v>
      </c>
      <c r="K625" s="441">
        <f t="shared" si="118"/>
        <v>273752</v>
      </c>
      <c r="L625" s="114"/>
      <c r="N625" s="114"/>
      <c r="O625" s="114"/>
    </row>
    <row r="626" spans="1:15" s="103" customFormat="1" ht="31.5" x14ac:dyDescent="0.25">
      <c r="A626" s="182" t="s">
        <v>443</v>
      </c>
      <c r="B626" s="136" t="s">
        <v>7</v>
      </c>
      <c r="C626" s="331" t="s">
        <v>28</v>
      </c>
      <c r="D626" s="116" t="s">
        <v>442</v>
      </c>
      <c r="E626" s="334"/>
      <c r="F626" s="575">
        <f t="shared" ref="F626:K626" si="119">F627+F634+F637+F640</f>
        <v>472460.4</v>
      </c>
      <c r="G626" s="441">
        <f t="shared" si="119"/>
        <v>271255</v>
      </c>
      <c r="H626" s="460">
        <f t="shared" si="119"/>
        <v>461823.3</v>
      </c>
      <c r="I626" s="583">
        <f t="shared" si="119"/>
        <v>273752</v>
      </c>
      <c r="J626" s="575">
        <f t="shared" si="119"/>
        <v>467723.5</v>
      </c>
      <c r="K626" s="441">
        <f t="shared" si="119"/>
        <v>273752</v>
      </c>
      <c r="L626" s="114"/>
      <c r="N626" s="114"/>
      <c r="O626" s="114"/>
    </row>
    <row r="627" spans="1:15" s="103" customFormat="1" ht="31.5" x14ac:dyDescent="0.25">
      <c r="A627" s="252" t="s">
        <v>262</v>
      </c>
      <c r="B627" s="136" t="s">
        <v>7</v>
      </c>
      <c r="C627" s="331" t="s">
        <v>28</v>
      </c>
      <c r="D627" s="116" t="s">
        <v>445</v>
      </c>
      <c r="E627" s="566"/>
      <c r="F627" s="575">
        <f>F628+F631</f>
        <v>201205.4</v>
      </c>
      <c r="G627" s="441"/>
      <c r="H627" s="460">
        <f>H628</f>
        <v>188071.3</v>
      </c>
      <c r="I627" s="583"/>
      <c r="J627" s="575">
        <f>J628</f>
        <v>193971.5</v>
      </c>
      <c r="K627" s="441"/>
      <c r="L627" s="114"/>
      <c r="N627" s="114"/>
      <c r="O627" s="114"/>
    </row>
    <row r="628" spans="1:15" s="103" customFormat="1" ht="31.5" x14ac:dyDescent="0.25">
      <c r="A628" s="252" t="s">
        <v>329</v>
      </c>
      <c r="B628" s="136" t="s">
        <v>7</v>
      </c>
      <c r="C628" s="331" t="s">
        <v>28</v>
      </c>
      <c r="D628" s="116" t="s">
        <v>446</v>
      </c>
      <c r="E628" s="334"/>
      <c r="F628" s="575">
        <f>F629</f>
        <v>183834.4</v>
      </c>
      <c r="G628" s="441"/>
      <c r="H628" s="460">
        <f>H629</f>
        <v>188071.3</v>
      </c>
      <c r="I628" s="583"/>
      <c r="J628" s="575">
        <f>J629</f>
        <v>193971.5</v>
      </c>
      <c r="K628" s="441"/>
      <c r="L628" s="114"/>
      <c r="N628" s="114"/>
      <c r="O628" s="114"/>
    </row>
    <row r="629" spans="1:15" s="103" customFormat="1" ht="31.5" x14ac:dyDescent="0.25">
      <c r="A629" s="252" t="s">
        <v>59</v>
      </c>
      <c r="B629" s="136" t="s">
        <v>7</v>
      </c>
      <c r="C629" s="331" t="s">
        <v>28</v>
      </c>
      <c r="D629" s="116" t="s">
        <v>446</v>
      </c>
      <c r="E629" s="334">
        <v>600</v>
      </c>
      <c r="F629" s="575">
        <f>F630</f>
        <v>183834.4</v>
      </c>
      <c r="G629" s="441"/>
      <c r="H629" s="460">
        <f>H630</f>
        <v>188071.3</v>
      </c>
      <c r="I629" s="583"/>
      <c r="J629" s="575">
        <f>J630</f>
        <v>193971.5</v>
      </c>
      <c r="K629" s="441"/>
      <c r="L629" s="114"/>
      <c r="N629" s="114"/>
      <c r="O629" s="114"/>
    </row>
    <row r="630" spans="1:15" s="103" customFormat="1" x14ac:dyDescent="0.25">
      <c r="A630" s="252" t="s">
        <v>60</v>
      </c>
      <c r="B630" s="132" t="s">
        <v>7</v>
      </c>
      <c r="C630" s="331" t="s">
        <v>28</v>
      </c>
      <c r="D630" s="116" t="s">
        <v>446</v>
      </c>
      <c r="E630" s="334">
        <v>610</v>
      </c>
      <c r="F630" s="575">
        <f>'ведом. 2025-2027'!AD708</f>
        <v>183834.4</v>
      </c>
      <c r="G630" s="441"/>
      <c r="H630" s="460">
        <f>'ведом. 2025-2027'!AE708</f>
        <v>188071.3</v>
      </c>
      <c r="I630" s="583"/>
      <c r="J630" s="575">
        <f>'ведом. 2025-2027'!AF708</f>
        <v>193971.5</v>
      </c>
      <c r="K630" s="441"/>
      <c r="L630" s="114"/>
      <c r="N630" s="114"/>
      <c r="O630" s="114"/>
    </row>
    <row r="631" spans="1:15" s="103" customFormat="1" ht="47.25" x14ac:dyDescent="0.25">
      <c r="A631" s="294" t="s">
        <v>710</v>
      </c>
      <c r="B631" s="537" t="s">
        <v>7</v>
      </c>
      <c r="C631" s="297" t="s">
        <v>28</v>
      </c>
      <c r="D631" s="409" t="s">
        <v>804</v>
      </c>
      <c r="E631" s="552"/>
      <c r="F631" s="575">
        <f>F632</f>
        <v>17371</v>
      </c>
      <c r="G631" s="441"/>
      <c r="H631" s="460">
        <f t="shared" ref="H631:J632" si="120">H632</f>
        <v>0</v>
      </c>
      <c r="I631" s="583"/>
      <c r="J631" s="575">
        <f t="shared" si="120"/>
        <v>0</v>
      </c>
      <c r="K631" s="441"/>
      <c r="L631" s="114"/>
      <c r="N631" s="114"/>
      <c r="O631" s="114"/>
    </row>
    <row r="632" spans="1:15" s="103" customFormat="1" ht="31.5" x14ac:dyDescent="0.25">
      <c r="A632" s="294" t="s">
        <v>59</v>
      </c>
      <c r="B632" s="537" t="s">
        <v>7</v>
      </c>
      <c r="C632" s="297" t="s">
        <v>28</v>
      </c>
      <c r="D632" s="409" t="s">
        <v>804</v>
      </c>
      <c r="E632" s="552">
        <v>600</v>
      </c>
      <c r="F632" s="575">
        <f>F633</f>
        <v>17371</v>
      </c>
      <c r="G632" s="441"/>
      <c r="H632" s="460">
        <f t="shared" si="120"/>
        <v>0</v>
      </c>
      <c r="I632" s="583"/>
      <c r="J632" s="575">
        <f t="shared" si="120"/>
        <v>0</v>
      </c>
      <c r="K632" s="441"/>
      <c r="L632" s="114"/>
      <c r="N632" s="114"/>
      <c r="O632" s="114"/>
    </row>
    <row r="633" spans="1:15" s="103" customFormat="1" x14ac:dyDescent="0.25">
      <c r="A633" s="294" t="s">
        <v>60</v>
      </c>
      <c r="B633" s="509" t="s">
        <v>7</v>
      </c>
      <c r="C633" s="297" t="s">
        <v>28</v>
      </c>
      <c r="D633" s="409" t="s">
        <v>804</v>
      </c>
      <c r="E633" s="552">
        <v>610</v>
      </c>
      <c r="F633" s="575">
        <f>'ведом. 2025-2027'!AD711</f>
        <v>17371</v>
      </c>
      <c r="G633" s="441"/>
      <c r="H633" s="460">
        <f>'ведом. 2025-2027'!AE711</f>
        <v>0</v>
      </c>
      <c r="I633" s="583"/>
      <c r="J633" s="575">
        <f>'ведом. 2025-2027'!AF711</f>
        <v>0</v>
      </c>
      <c r="K633" s="441"/>
      <c r="L633" s="114"/>
      <c r="N633" s="114"/>
      <c r="O633" s="114"/>
    </row>
    <row r="634" spans="1:15" s="103" customFormat="1" ht="141.75" x14ac:dyDescent="0.25">
      <c r="A634" s="183" t="s">
        <v>395</v>
      </c>
      <c r="B634" s="133" t="s">
        <v>7</v>
      </c>
      <c r="C634" s="128" t="s">
        <v>28</v>
      </c>
      <c r="D634" s="116" t="s">
        <v>466</v>
      </c>
      <c r="E634" s="566"/>
      <c r="F634" s="575">
        <f t="shared" ref="F634:K635" si="121">F635</f>
        <v>256577</v>
      </c>
      <c r="G634" s="441">
        <f t="shared" si="121"/>
        <v>256577</v>
      </c>
      <c r="H634" s="460">
        <f t="shared" si="121"/>
        <v>249569</v>
      </c>
      <c r="I634" s="583">
        <f t="shared" si="121"/>
        <v>249569</v>
      </c>
      <c r="J634" s="575">
        <f t="shared" si="121"/>
        <v>249569</v>
      </c>
      <c r="K634" s="441">
        <f t="shared" si="121"/>
        <v>249569</v>
      </c>
      <c r="L634" s="114"/>
      <c r="N634" s="114"/>
      <c r="O634" s="114"/>
    </row>
    <row r="635" spans="1:15" s="103" customFormat="1" ht="31.5" x14ac:dyDescent="0.25">
      <c r="A635" s="252" t="s">
        <v>59</v>
      </c>
      <c r="B635" s="133" t="s">
        <v>7</v>
      </c>
      <c r="C635" s="128" t="s">
        <v>28</v>
      </c>
      <c r="D635" s="116" t="s">
        <v>466</v>
      </c>
      <c r="E635" s="205">
        <v>600</v>
      </c>
      <c r="F635" s="575">
        <f t="shared" si="121"/>
        <v>256577</v>
      </c>
      <c r="G635" s="441">
        <f t="shared" si="121"/>
        <v>256577</v>
      </c>
      <c r="H635" s="460">
        <f t="shared" si="121"/>
        <v>249569</v>
      </c>
      <c r="I635" s="583">
        <f t="shared" si="121"/>
        <v>249569</v>
      </c>
      <c r="J635" s="575">
        <f t="shared" si="121"/>
        <v>249569</v>
      </c>
      <c r="K635" s="441">
        <f t="shared" si="121"/>
        <v>249569</v>
      </c>
      <c r="L635" s="114"/>
      <c r="N635" s="114"/>
      <c r="O635" s="114"/>
    </row>
    <row r="636" spans="1:15" s="103" customFormat="1" x14ac:dyDescent="0.25">
      <c r="A636" s="252" t="s">
        <v>60</v>
      </c>
      <c r="B636" s="136" t="s">
        <v>7</v>
      </c>
      <c r="C636" s="331" t="s">
        <v>28</v>
      </c>
      <c r="D636" s="116" t="s">
        <v>466</v>
      </c>
      <c r="E636" s="205">
        <v>610</v>
      </c>
      <c r="F636" s="575">
        <f>'ведом. 2025-2027'!AD714</f>
        <v>256577</v>
      </c>
      <c r="G636" s="441">
        <f>F636</f>
        <v>256577</v>
      </c>
      <c r="H636" s="460">
        <f>'ведом. 2025-2027'!AE714</f>
        <v>249569</v>
      </c>
      <c r="I636" s="583">
        <f>H636</f>
        <v>249569</v>
      </c>
      <c r="J636" s="575">
        <f>'ведом. 2025-2027'!AF714</f>
        <v>249569</v>
      </c>
      <c r="K636" s="441">
        <f>J636</f>
        <v>249569</v>
      </c>
      <c r="L636" s="114"/>
      <c r="N636" s="114"/>
      <c r="O636" s="114"/>
    </row>
    <row r="637" spans="1:15" s="103" customFormat="1" ht="31.5" x14ac:dyDescent="0.25">
      <c r="A637" s="255" t="s">
        <v>755</v>
      </c>
      <c r="B637" s="133" t="s">
        <v>7</v>
      </c>
      <c r="C637" s="128" t="s">
        <v>28</v>
      </c>
      <c r="D637" s="116" t="s">
        <v>613</v>
      </c>
      <c r="E637" s="566"/>
      <c r="F637" s="575">
        <f t="shared" ref="F637:K638" si="122">F638</f>
        <v>200</v>
      </c>
      <c r="G637" s="441">
        <f t="shared" si="122"/>
        <v>200</v>
      </c>
      <c r="H637" s="460">
        <f t="shared" si="122"/>
        <v>200</v>
      </c>
      <c r="I637" s="583">
        <f t="shared" si="122"/>
        <v>200</v>
      </c>
      <c r="J637" s="575">
        <f t="shared" si="122"/>
        <v>200</v>
      </c>
      <c r="K637" s="441">
        <f t="shared" si="122"/>
        <v>200</v>
      </c>
      <c r="L637" s="114"/>
      <c r="N637" s="114"/>
      <c r="O637" s="114"/>
    </row>
    <row r="638" spans="1:15" s="103" customFormat="1" ht="31.5" x14ac:dyDescent="0.25">
      <c r="A638" s="255" t="s">
        <v>59</v>
      </c>
      <c r="B638" s="133" t="s">
        <v>7</v>
      </c>
      <c r="C638" s="128" t="s">
        <v>28</v>
      </c>
      <c r="D638" s="116" t="s">
        <v>613</v>
      </c>
      <c r="E638" s="205">
        <v>600</v>
      </c>
      <c r="F638" s="575">
        <f t="shared" si="122"/>
        <v>200</v>
      </c>
      <c r="G638" s="441">
        <f t="shared" si="122"/>
        <v>200</v>
      </c>
      <c r="H638" s="460">
        <f t="shared" si="122"/>
        <v>200</v>
      </c>
      <c r="I638" s="583">
        <f t="shared" si="122"/>
        <v>200</v>
      </c>
      <c r="J638" s="575">
        <f t="shared" si="122"/>
        <v>200</v>
      </c>
      <c r="K638" s="441">
        <f t="shared" si="122"/>
        <v>200</v>
      </c>
      <c r="L638" s="114"/>
      <c r="N638" s="114"/>
      <c r="O638" s="114"/>
    </row>
    <row r="639" spans="1:15" s="103" customFormat="1" x14ac:dyDescent="0.25">
      <c r="A639" s="255" t="s">
        <v>60</v>
      </c>
      <c r="B639" s="136" t="s">
        <v>7</v>
      </c>
      <c r="C639" s="331" t="s">
        <v>28</v>
      </c>
      <c r="D639" s="116" t="s">
        <v>613</v>
      </c>
      <c r="E639" s="205">
        <v>610</v>
      </c>
      <c r="F639" s="575">
        <f>'ведом. 2025-2027'!AD717</f>
        <v>200</v>
      </c>
      <c r="G639" s="441">
        <f>F639</f>
        <v>200</v>
      </c>
      <c r="H639" s="460">
        <f>'ведом. 2025-2027'!AE717</f>
        <v>200</v>
      </c>
      <c r="I639" s="583">
        <f>H639</f>
        <v>200</v>
      </c>
      <c r="J639" s="575">
        <f>'ведом. 2025-2027'!AF717</f>
        <v>200</v>
      </c>
      <c r="K639" s="441">
        <f>J639</f>
        <v>200</v>
      </c>
      <c r="L639" s="114"/>
      <c r="N639" s="114"/>
      <c r="O639" s="114"/>
    </row>
    <row r="640" spans="1:15" s="103" customFormat="1" ht="47.25" x14ac:dyDescent="0.25">
      <c r="A640" s="294" t="s">
        <v>762</v>
      </c>
      <c r="B640" s="537" t="s">
        <v>7</v>
      </c>
      <c r="C640" s="297" t="s">
        <v>28</v>
      </c>
      <c r="D640" s="412" t="s">
        <v>651</v>
      </c>
      <c r="E640" s="552"/>
      <c r="F640" s="575">
        <f>F641</f>
        <v>14478</v>
      </c>
      <c r="G640" s="441">
        <f t="shared" ref="G640:K641" si="123">G641</f>
        <v>14478</v>
      </c>
      <c r="H640" s="460">
        <f t="shared" si="123"/>
        <v>23983</v>
      </c>
      <c r="I640" s="583">
        <f t="shared" si="123"/>
        <v>23983</v>
      </c>
      <c r="J640" s="575">
        <f t="shared" si="123"/>
        <v>23983</v>
      </c>
      <c r="K640" s="441">
        <f t="shared" si="123"/>
        <v>23983</v>
      </c>
      <c r="L640" s="114"/>
      <c r="N640" s="114"/>
      <c r="O640" s="114"/>
    </row>
    <row r="641" spans="1:15" s="103" customFormat="1" ht="31.5" x14ac:dyDescent="0.25">
      <c r="A641" s="294" t="s">
        <v>59</v>
      </c>
      <c r="B641" s="537" t="s">
        <v>7</v>
      </c>
      <c r="C641" s="297" t="s">
        <v>28</v>
      </c>
      <c r="D641" s="412" t="s">
        <v>651</v>
      </c>
      <c r="E641" s="552">
        <v>600</v>
      </c>
      <c r="F641" s="575">
        <f>F642</f>
        <v>14478</v>
      </c>
      <c r="G641" s="441">
        <f t="shared" si="123"/>
        <v>14478</v>
      </c>
      <c r="H641" s="460">
        <f t="shared" si="123"/>
        <v>23983</v>
      </c>
      <c r="I641" s="583">
        <f t="shared" si="123"/>
        <v>23983</v>
      </c>
      <c r="J641" s="575">
        <f t="shared" si="123"/>
        <v>23983</v>
      </c>
      <c r="K641" s="441">
        <f t="shared" si="123"/>
        <v>23983</v>
      </c>
      <c r="L641" s="114"/>
      <c r="N641" s="114"/>
      <c r="O641" s="114"/>
    </row>
    <row r="642" spans="1:15" s="103" customFormat="1" x14ac:dyDescent="0.25">
      <c r="A642" s="294" t="s">
        <v>60</v>
      </c>
      <c r="B642" s="537" t="s">
        <v>7</v>
      </c>
      <c r="C642" s="297" t="s">
        <v>28</v>
      </c>
      <c r="D642" s="412" t="s">
        <v>651</v>
      </c>
      <c r="E642" s="552">
        <v>610</v>
      </c>
      <c r="F642" s="575">
        <f>'ведом. 2025-2027'!AD720</f>
        <v>14478</v>
      </c>
      <c r="G642" s="441">
        <f>F642</f>
        <v>14478</v>
      </c>
      <c r="H642" s="460">
        <f>'ведом. 2025-2027'!AE720</f>
        <v>23983</v>
      </c>
      <c r="I642" s="583">
        <f>H642</f>
        <v>23983</v>
      </c>
      <c r="J642" s="575">
        <f>'ведом. 2025-2027'!AF720</f>
        <v>23983</v>
      </c>
      <c r="K642" s="441">
        <f>J642</f>
        <v>23983</v>
      </c>
      <c r="L642" s="114"/>
      <c r="N642" s="114"/>
      <c r="O642" s="114"/>
    </row>
    <row r="643" spans="1:15" s="103" customFormat="1" ht="47.25" x14ac:dyDescent="0.25">
      <c r="A643" s="301" t="s">
        <v>265</v>
      </c>
      <c r="B643" s="537" t="s">
        <v>7</v>
      </c>
      <c r="C643" s="297" t="s">
        <v>28</v>
      </c>
      <c r="D643" s="409" t="s">
        <v>124</v>
      </c>
      <c r="E643" s="551"/>
      <c r="F643" s="575">
        <f>F644</f>
        <v>2163</v>
      </c>
      <c r="G643" s="441">
        <f t="shared" ref="G643:J645" si="124">G644</f>
        <v>2163</v>
      </c>
      <c r="H643" s="460">
        <f t="shared" si="124"/>
        <v>0</v>
      </c>
      <c r="I643" s="583"/>
      <c r="J643" s="575">
        <f t="shared" si="124"/>
        <v>0</v>
      </c>
      <c r="K643" s="441"/>
      <c r="L643" s="114"/>
      <c r="N643" s="114"/>
      <c r="O643" s="114"/>
    </row>
    <row r="644" spans="1:15" s="103" customFormat="1" ht="63" x14ac:dyDescent="0.25">
      <c r="A644" s="294" t="s">
        <v>783</v>
      </c>
      <c r="B644" s="537" t="s">
        <v>7</v>
      </c>
      <c r="C644" s="297" t="s">
        <v>28</v>
      </c>
      <c r="D644" s="409" t="s">
        <v>784</v>
      </c>
      <c r="E644" s="551"/>
      <c r="F644" s="575">
        <f>F645</f>
        <v>2163</v>
      </c>
      <c r="G644" s="441">
        <f t="shared" si="124"/>
        <v>2163</v>
      </c>
      <c r="H644" s="460">
        <f t="shared" si="124"/>
        <v>0</v>
      </c>
      <c r="I644" s="583"/>
      <c r="J644" s="575">
        <f t="shared" si="124"/>
        <v>0</v>
      </c>
      <c r="K644" s="441"/>
      <c r="L644" s="114"/>
      <c r="N644" s="114"/>
      <c r="O644" s="114"/>
    </row>
    <row r="645" spans="1:15" s="103" customFormat="1" ht="31.5" x14ac:dyDescent="0.25">
      <c r="A645" s="294" t="s">
        <v>59</v>
      </c>
      <c r="B645" s="537" t="s">
        <v>7</v>
      </c>
      <c r="C645" s="297" t="s">
        <v>28</v>
      </c>
      <c r="D645" s="409" t="s">
        <v>784</v>
      </c>
      <c r="E645" s="551">
        <v>600</v>
      </c>
      <c r="F645" s="575">
        <f>F646</f>
        <v>2163</v>
      </c>
      <c r="G645" s="441">
        <f t="shared" si="124"/>
        <v>2163</v>
      </c>
      <c r="H645" s="460">
        <f t="shared" si="124"/>
        <v>0</v>
      </c>
      <c r="I645" s="583"/>
      <c r="J645" s="575">
        <f t="shared" si="124"/>
        <v>0</v>
      </c>
      <c r="K645" s="441"/>
      <c r="L645" s="19"/>
      <c r="N645" s="114"/>
      <c r="O645" s="114"/>
    </row>
    <row r="646" spans="1:15" s="103" customFormat="1" x14ac:dyDescent="0.25">
      <c r="A646" s="294" t="s">
        <v>60</v>
      </c>
      <c r="B646" s="537" t="s">
        <v>7</v>
      </c>
      <c r="C646" s="297" t="s">
        <v>28</v>
      </c>
      <c r="D646" s="409" t="s">
        <v>784</v>
      </c>
      <c r="E646" s="551">
        <v>610</v>
      </c>
      <c r="F646" s="575">
        <f>'ведом. 2025-2027'!AD724</f>
        <v>2163</v>
      </c>
      <c r="G646" s="441">
        <f>F646</f>
        <v>2163</v>
      </c>
      <c r="H646" s="460">
        <f>'ведом. 2025-2027'!AE724</f>
        <v>0</v>
      </c>
      <c r="I646" s="583"/>
      <c r="J646" s="575">
        <f>'ведом. 2025-2027'!AF724</f>
        <v>0</v>
      </c>
      <c r="K646" s="441"/>
      <c r="L646" s="114"/>
      <c r="N646" s="114"/>
      <c r="O646" s="114"/>
    </row>
    <row r="647" spans="1:15" s="103" customFormat="1" x14ac:dyDescent="0.25">
      <c r="A647" s="255" t="s">
        <v>33</v>
      </c>
      <c r="B647" s="136" t="s">
        <v>7</v>
      </c>
      <c r="C647" s="331" t="s">
        <v>29</v>
      </c>
      <c r="D647" s="21"/>
      <c r="E647" s="205"/>
      <c r="F647" s="575">
        <f t="shared" ref="F647:K647" si="125">F648+F708</f>
        <v>810790.70000000007</v>
      </c>
      <c r="G647" s="441">
        <f t="shared" si="125"/>
        <v>618346.80000000005</v>
      </c>
      <c r="H647" s="460">
        <f t="shared" si="125"/>
        <v>727748.5</v>
      </c>
      <c r="I647" s="583">
        <f t="shared" si="125"/>
        <v>598350.4</v>
      </c>
      <c r="J647" s="575">
        <f t="shared" si="125"/>
        <v>716115.5</v>
      </c>
      <c r="K647" s="441">
        <f t="shared" si="125"/>
        <v>586893.4</v>
      </c>
      <c r="L647" s="114"/>
      <c r="N647" s="114"/>
      <c r="O647" s="114"/>
    </row>
    <row r="648" spans="1:15" s="103" customFormat="1" x14ac:dyDescent="0.25">
      <c r="A648" s="182" t="s">
        <v>260</v>
      </c>
      <c r="B648" s="136" t="s">
        <v>7</v>
      </c>
      <c r="C648" s="331" t="s">
        <v>29</v>
      </c>
      <c r="D648" s="116" t="s">
        <v>98</v>
      </c>
      <c r="E648" s="334"/>
      <c r="F648" s="577">
        <f t="shared" ref="F648:K648" si="126">F649</f>
        <v>804790.70000000007</v>
      </c>
      <c r="G648" s="525">
        <f t="shared" si="126"/>
        <v>616346.80000000005</v>
      </c>
      <c r="H648" s="545">
        <f t="shared" si="126"/>
        <v>727748.5</v>
      </c>
      <c r="I648" s="585">
        <f t="shared" si="126"/>
        <v>598350.4</v>
      </c>
      <c r="J648" s="577">
        <f t="shared" si="126"/>
        <v>716115.5</v>
      </c>
      <c r="K648" s="525">
        <f t="shared" si="126"/>
        <v>586893.4</v>
      </c>
      <c r="L648" s="114"/>
      <c r="N648" s="114"/>
      <c r="O648" s="114"/>
    </row>
    <row r="649" spans="1:15" s="103" customFormat="1" x14ac:dyDescent="0.25">
      <c r="A649" s="182" t="s">
        <v>263</v>
      </c>
      <c r="B649" s="132" t="s">
        <v>7</v>
      </c>
      <c r="C649" s="331" t="s">
        <v>29</v>
      </c>
      <c r="D649" s="116" t="s">
        <v>115</v>
      </c>
      <c r="E649" s="334"/>
      <c r="F649" s="577">
        <f>F650+F673+F687+F698+F694+F683</f>
        <v>804790.70000000007</v>
      </c>
      <c r="G649" s="525">
        <f>G650+G673+G687+G698+G694</f>
        <v>616346.80000000005</v>
      </c>
      <c r="H649" s="545">
        <f>H650+H673+H687+H698+H694</f>
        <v>727748.5</v>
      </c>
      <c r="I649" s="585">
        <f>I650+I673+I687+I698+I694</f>
        <v>598350.4</v>
      </c>
      <c r="J649" s="577">
        <f>J650+J673+J687+J698+J694</f>
        <v>716115.5</v>
      </c>
      <c r="K649" s="525">
        <f>K650+K673+K687+K698+K694</f>
        <v>586893.4</v>
      </c>
      <c r="L649" s="114"/>
      <c r="N649" s="114"/>
      <c r="O649" s="114"/>
    </row>
    <row r="650" spans="1:15" s="103" customFormat="1" ht="31.5" x14ac:dyDescent="0.25">
      <c r="A650" s="196" t="s">
        <v>264</v>
      </c>
      <c r="B650" s="132" t="s">
        <v>7</v>
      </c>
      <c r="C650" s="331" t="s">
        <v>29</v>
      </c>
      <c r="D650" s="116" t="s">
        <v>442</v>
      </c>
      <c r="E650" s="334"/>
      <c r="F650" s="577">
        <f t="shared" ref="F650:K650" si="127">F654+F661+F664+F651+F667+F670</f>
        <v>701386</v>
      </c>
      <c r="G650" s="525">
        <f t="shared" si="127"/>
        <v>528748</v>
      </c>
      <c r="H650" s="545">
        <f t="shared" si="127"/>
        <v>630900.1</v>
      </c>
      <c r="I650" s="585">
        <f t="shared" si="127"/>
        <v>508513</v>
      </c>
      <c r="J650" s="577">
        <f t="shared" si="127"/>
        <v>632000.5</v>
      </c>
      <c r="K650" s="525">
        <f t="shared" si="127"/>
        <v>508513</v>
      </c>
      <c r="L650" s="114"/>
      <c r="N650" s="114"/>
      <c r="O650" s="114"/>
    </row>
    <row r="651" spans="1:15" s="103" customFormat="1" ht="31.5" x14ac:dyDescent="0.25">
      <c r="A651" s="301" t="s">
        <v>674</v>
      </c>
      <c r="B651" s="136" t="s">
        <v>7</v>
      </c>
      <c r="C651" s="331" t="s">
        <v>29</v>
      </c>
      <c r="D651" s="409" t="s">
        <v>673</v>
      </c>
      <c r="E651" s="222"/>
      <c r="F651" s="577">
        <f>F652</f>
        <v>29743.600000000002</v>
      </c>
      <c r="G651" s="525"/>
      <c r="H651" s="545">
        <f t="shared" ref="H651:J652" si="128">H652</f>
        <v>21201.200000000001</v>
      </c>
      <c r="I651" s="585"/>
      <c r="J651" s="577">
        <f t="shared" si="128"/>
        <v>19198.599999999999</v>
      </c>
      <c r="K651" s="525"/>
      <c r="L651" s="114"/>
      <c r="N651" s="114"/>
      <c r="O651" s="114"/>
    </row>
    <row r="652" spans="1:15" s="103" customFormat="1" x14ac:dyDescent="0.25">
      <c r="A652" s="255" t="s">
        <v>118</v>
      </c>
      <c r="B652" s="136" t="s">
        <v>7</v>
      </c>
      <c r="C652" s="331" t="s">
        <v>29</v>
      </c>
      <c r="D652" s="409" t="s">
        <v>673</v>
      </c>
      <c r="E652" s="334">
        <v>200</v>
      </c>
      <c r="F652" s="577">
        <f>F653</f>
        <v>29743.600000000002</v>
      </c>
      <c r="G652" s="525"/>
      <c r="H652" s="545">
        <f t="shared" si="128"/>
        <v>21201.200000000001</v>
      </c>
      <c r="I652" s="585"/>
      <c r="J652" s="577">
        <f t="shared" si="128"/>
        <v>19198.599999999999</v>
      </c>
      <c r="K652" s="525"/>
      <c r="L652" s="114"/>
      <c r="N652" s="114"/>
      <c r="O652" s="114"/>
    </row>
    <row r="653" spans="1:15" s="103" customFormat="1" ht="31.5" x14ac:dyDescent="0.25">
      <c r="A653" s="255" t="s">
        <v>51</v>
      </c>
      <c r="B653" s="132" t="s">
        <v>7</v>
      </c>
      <c r="C653" s="331" t="s">
        <v>29</v>
      </c>
      <c r="D653" s="409" t="s">
        <v>673</v>
      </c>
      <c r="E653" s="334">
        <v>240</v>
      </c>
      <c r="F653" s="577">
        <f>'ведом. 2025-2027'!AD731</f>
        <v>29743.600000000002</v>
      </c>
      <c r="G653" s="525"/>
      <c r="H653" s="545">
        <f>'ведом. 2025-2027'!AE731</f>
        <v>21201.200000000001</v>
      </c>
      <c r="I653" s="585"/>
      <c r="J653" s="577">
        <f>'ведом. 2025-2027'!AF731</f>
        <v>19198.599999999999</v>
      </c>
      <c r="K653" s="525"/>
      <c r="L653" s="114"/>
      <c r="N653" s="114"/>
      <c r="O653" s="114"/>
    </row>
    <row r="654" spans="1:15" s="103" customFormat="1" ht="47.25" x14ac:dyDescent="0.25">
      <c r="A654" s="182" t="s">
        <v>427</v>
      </c>
      <c r="B654" s="132" t="s">
        <v>7</v>
      </c>
      <c r="C654" s="331" t="s">
        <v>29</v>
      </c>
      <c r="D654" s="116" t="s">
        <v>463</v>
      </c>
      <c r="E654" s="334"/>
      <c r="F654" s="575">
        <f>F655+F658</f>
        <v>142894.40000000002</v>
      </c>
      <c r="G654" s="441"/>
      <c r="H654" s="460">
        <f>H655+H658</f>
        <v>101185.9</v>
      </c>
      <c r="I654" s="583"/>
      <c r="J654" s="575">
        <f>J655+J658</f>
        <v>104288.90000000001</v>
      </c>
      <c r="K654" s="441"/>
      <c r="L654" s="114"/>
      <c r="N654" s="114"/>
      <c r="O654" s="114"/>
    </row>
    <row r="655" spans="1:15" s="103" customFormat="1" ht="47.25" x14ac:dyDescent="0.25">
      <c r="A655" s="252" t="s">
        <v>503</v>
      </c>
      <c r="B655" s="132" t="s">
        <v>7</v>
      </c>
      <c r="C655" s="331" t="s">
        <v>29</v>
      </c>
      <c r="D655" s="116" t="s">
        <v>464</v>
      </c>
      <c r="E655" s="566"/>
      <c r="F655" s="575">
        <f>F656</f>
        <v>125443.70000000001</v>
      </c>
      <c r="G655" s="441"/>
      <c r="H655" s="460">
        <f>H656</f>
        <v>101185.9</v>
      </c>
      <c r="I655" s="583"/>
      <c r="J655" s="575">
        <f>J656</f>
        <v>104288.90000000001</v>
      </c>
      <c r="K655" s="441"/>
      <c r="L655" s="114"/>
      <c r="N655" s="114"/>
      <c r="O655" s="114"/>
    </row>
    <row r="656" spans="1:15" s="103" customFormat="1" ht="31.5" x14ac:dyDescent="0.25">
      <c r="A656" s="252" t="s">
        <v>59</v>
      </c>
      <c r="B656" s="132" t="s">
        <v>7</v>
      </c>
      <c r="C656" s="331" t="s">
        <v>29</v>
      </c>
      <c r="D656" s="116" t="s">
        <v>464</v>
      </c>
      <c r="E656" s="334">
        <v>600</v>
      </c>
      <c r="F656" s="575">
        <f>F657</f>
        <v>125443.70000000001</v>
      </c>
      <c r="G656" s="441"/>
      <c r="H656" s="460">
        <f>H657</f>
        <v>101185.9</v>
      </c>
      <c r="I656" s="583"/>
      <c r="J656" s="575">
        <f>J657</f>
        <v>104288.90000000001</v>
      </c>
      <c r="K656" s="441"/>
      <c r="L656" s="114"/>
      <c r="N656" s="114"/>
      <c r="O656" s="114"/>
    </row>
    <row r="657" spans="1:15" s="103" customFormat="1" x14ac:dyDescent="0.25">
      <c r="A657" s="252" t="s">
        <v>60</v>
      </c>
      <c r="B657" s="132" t="s">
        <v>7</v>
      </c>
      <c r="C657" s="331" t="s">
        <v>29</v>
      </c>
      <c r="D657" s="116" t="s">
        <v>464</v>
      </c>
      <c r="E657" s="334">
        <v>610</v>
      </c>
      <c r="F657" s="575">
        <f>'ведом. 2025-2027'!AD735</f>
        <v>125443.70000000001</v>
      </c>
      <c r="G657" s="441"/>
      <c r="H657" s="460">
        <f>'ведом. 2025-2027'!AE735</f>
        <v>101185.9</v>
      </c>
      <c r="I657" s="583"/>
      <c r="J657" s="575">
        <f>'ведом. 2025-2027'!AF735</f>
        <v>104288.90000000001</v>
      </c>
      <c r="K657" s="441"/>
      <c r="L657" s="114"/>
      <c r="N657" s="114"/>
      <c r="O657" s="114"/>
    </row>
    <row r="658" spans="1:15" s="103" customFormat="1" ht="47.25" x14ac:dyDescent="0.25">
      <c r="A658" s="252" t="s">
        <v>710</v>
      </c>
      <c r="B658" s="132" t="s">
        <v>7</v>
      </c>
      <c r="C658" s="331" t="s">
        <v>29</v>
      </c>
      <c r="D658" s="116" t="s">
        <v>465</v>
      </c>
      <c r="E658" s="334"/>
      <c r="F658" s="575">
        <f>F659</f>
        <v>17450.7</v>
      </c>
      <c r="G658" s="441"/>
      <c r="H658" s="460">
        <f t="shared" ref="H658:J658" si="129">H659</f>
        <v>0</v>
      </c>
      <c r="I658" s="583"/>
      <c r="J658" s="575">
        <f t="shared" si="129"/>
        <v>0</v>
      </c>
      <c r="K658" s="441"/>
      <c r="L658" s="114"/>
      <c r="N658" s="114"/>
      <c r="O658" s="114"/>
    </row>
    <row r="659" spans="1:15" s="103" customFormat="1" ht="31.5" x14ac:dyDescent="0.25">
      <c r="A659" s="252" t="s">
        <v>59</v>
      </c>
      <c r="B659" s="132" t="s">
        <v>7</v>
      </c>
      <c r="C659" s="331" t="s">
        <v>29</v>
      </c>
      <c r="D659" s="116" t="s">
        <v>465</v>
      </c>
      <c r="E659" s="334">
        <v>600</v>
      </c>
      <c r="F659" s="575">
        <f>F660</f>
        <v>17450.7</v>
      </c>
      <c r="G659" s="441"/>
      <c r="H659" s="460">
        <f>H660</f>
        <v>0</v>
      </c>
      <c r="I659" s="583"/>
      <c r="J659" s="575">
        <f>J660</f>
        <v>0</v>
      </c>
      <c r="K659" s="441"/>
      <c r="L659" s="114"/>
      <c r="N659" s="114"/>
      <c r="O659" s="114"/>
    </row>
    <row r="660" spans="1:15" s="103" customFormat="1" x14ac:dyDescent="0.25">
      <c r="A660" s="252" t="s">
        <v>60</v>
      </c>
      <c r="B660" s="132" t="s">
        <v>7</v>
      </c>
      <c r="C660" s="331" t="s">
        <v>29</v>
      </c>
      <c r="D660" s="116" t="s">
        <v>465</v>
      </c>
      <c r="E660" s="334">
        <v>610</v>
      </c>
      <c r="F660" s="575">
        <f>'ведом. 2025-2027'!AD738</f>
        <v>17450.7</v>
      </c>
      <c r="G660" s="441"/>
      <c r="H660" s="460">
        <f>'ведом. 2025-2027'!AE738</f>
        <v>0</v>
      </c>
      <c r="I660" s="583"/>
      <c r="J660" s="575">
        <f>'ведом. 2025-2027'!AF738</f>
        <v>0</v>
      </c>
      <c r="K660" s="441"/>
      <c r="L660" s="114"/>
      <c r="N660" s="114"/>
      <c r="O660" s="114"/>
    </row>
    <row r="661" spans="1:15" s="103" customFormat="1" ht="141.75" x14ac:dyDescent="0.25">
      <c r="A661" s="183" t="s">
        <v>395</v>
      </c>
      <c r="B661" s="132" t="s">
        <v>7</v>
      </c>
      <c r="C661" s="331" t="s">
        <v>29</v>
      </c>
      <c r="D661" s="21" t="s">
        <v>466</v>
      </c>
      <c r="E661" s="205"/>
      <c r="F661" s="575">
        <f t="shared" ref="F661:K662" si="130">F662</f>
        <v>506051</v>
      </c>
      <c r="G661" s="441">
        <f t="shared" si="130"/>
        <v>506051</v>
      </c>
      <c r="H661" s="460">
        <f t="shared" si="130"/>
        <v>479541</v>
      </c>
      <c r="I661" s="583">
        <f t="shared" si="130"/>
        <v>479541</v>
      </c>
      <c r="J661" s="575">
        <f t="shared" si="130"/>
        <v>479541</v>
      </c>
      <c r="K661" s="441">
        <f t="shared" si="130"/>
        <v>479541</v>
      </c>
      <c r="L661" s="114"/>
      <c r="N661" s="114"/>
      <c r="O661" s="114"/>
    </row>
    <row r="662" spans="1:15" s="103" customFormat="1" ht="31.5" x14ac:dyDescent="0.25">
      <c r="A662" s="252" t="s">
        <v>59</v>
      </c>
      <c r="B662" s="132" t="s">
        <v>7</v>
      </c>
      <c r="C662" s="331" t="s">
        <v>29</v>
      </c>
      <c r="D662" s="21" t="s">
        <v>466</v>
      </c>
      <c r="E662" s="334">
        <v>600</v>
      </c>
      <c r="F662" s="575">
        <f t="shared" si="130"/>
        <v>506051</v>
      </c>
      <c r="G662" s="441">
        <f t="shared" si="130"/>
        <v>506051</v>
      </c>
      <c r="H662" s="460">
        <f t="shared" si="130"/>
        <v>479541</v>
      </c>
      <c r="I662" s="583">
        <f t="shared" si="130"/>
        <v>479541</v>
      </c>
      <c r="J662" s="575">
        <f t="shared" si="130"/>
        <v>479541</v>
      </c>
      <c r="K662" s="441">
        <f t="shared" si="130"/>
        <v>479541</v>
      </c>
      <c r="L662" s="114"/>
      <c r="N662" s="114"/>
      <c r="O662" s="114"/>
    </row>
    <row r="663" spans="1:15" s="103" customFormat="1" x14ac:dyDescent="0.25">
      <c r="A663" s="252" t="s">
        <v>60</v>
      </c>
      <c r="B663" s="132" t="s">
        <v>7</v>
      </c>
      <c r="C663" s="331" t="s">
        <v>29</v>
      </c>
      <c r="D663" s="21" t="s">
        <v>466</v>
      </c>
      <c r="E663" s="334">
        <v>610</v>
      </c>
      <c r="F663" s="575">
        <f>'ведом. 2025-2027'!AD741</f>
        <v>506051</v>
      </c>
      <c r="G663" s="441">
        <f>F663</f>
        <v>506051</v>
      </c>
      <c r="H663" s="460">
        <f>'ведом. 2025-2027'!AE741</f>
        <v>479541</v>
      </c>
      <c r="I663" s="583">
        <f>H663</f>
        <v>479541</v>
      </c>
      <c r="J663" s="575">
        <f>'ведом. 2025-2027'!AF741</f>
        <v>479541</v>
      </c>
      <c r="K663" s="441">
        <f>J663</f>
        <v>479541</v>
      </c>
      <c r="L663" s="114"/>
      <c r="N663" s="114"/>
      <c r="O663" s="114"/>
    </row>
    <row r="664" spans="1:15" s="103" customFormat="1" ht="31.5" x14ac:dyDescent="0.25">
      <c r="A664" s="255" t="s">
        <v>755</v>
      </c>
      <c r="B664" s="132" t="s">
        <v>7</v>
      </c>
      <c r="C664" s="331" t="s">
        <v>29</v>
      </c>
      <c r="D664" s="116" t="s">
        <v>613</v>
      </c>
      <c r="E664" s="334"/>
      <c r="F664" s="575">
        <f>F665</f>
        <v>1708</v>
      </c>
      <c r="G664" s="441">
        <f t="shared" ref="G664:K665" si="131">G665</f>
        <v>1708</v>
      </c>
      <c r="H664" s="460">
        <f t="shared" si="131"/>
        <v>1708</v>
      </c>
      <c r="I664" s="583">
        <f t="shared" si="131"/>
        <v>1708</v>
      </c>
      <c r="J664" s="575">
        <f t="shared" si="131"/>
        <v>1708</v>
      </c>
      <c r="K664" s="441">
        <f t="shared" si="131"/>
        <v>1708</v>
      </c>
      <c r="L664" s="114"/>
      <c r="N664" s="114"/>
      <c r="O664" s="114"/>
    </row>
    <row r="665" spans="1:15" s="103" customFormat="1" ht="31.5" x14ac:dyDescent="0.25">
      <c r="A665" s="255" t="s">
        <v>59</v>
      </c>
      <c r="B665" s="132" t="s">
        <v>7</v>
      </c>
      <c r="C665" s="331" t="s">
        <v>29</v>
      </c>
      <c r="D665" s="116" t="s">
        <v>613</v>
      </c>
      <c r="E665" s="334">
        <v>600</v>
      </c>
      <c r="F665" s="575">
        <f>F666</f>
        <v>1708</v>
      </c>
      <c r="G665" s="441">
        <f t="shared" si="131"/>
        <v>1708</v>
      </c>
      <c r="H665" s="460">
        <f t="shared" si="131"/>
        <v>1708</v>
      </c>
      <c r="I665" s="583">
        <f t="shared" si="131"/>
        <v>1708</v>
      </c>
      <c r="J665" s="575">
        <f t="shared" si="131"/>
        <v>1708</v>
      </c>
      <c r="K665" s="441">
        <f t="shared" si="131"/>
        <v>1708</v>
      </c>
      <c r="L665" s="114"/>
      <c r="N665" s="114"/>
      <c r="O665" s="114"/>
    </row>
    <row r="666" spans="1:15" s="103" customFormat="1" x14ac:dyDescent="0.25">
      <c r="A666" s="255" t="s">
        <v>60</v>
      </c>
      <c r="B666" s="132" t="s">
        <v>7</v>
      </c>
      <c r="C666" s="331" t="s">
        <v>29</v>
      </c>
      <c r="D666" s="116" t="s">
        <v>613</v>
      </c>
      <c r="E666" s="334">
        <v>610</v>
      </c>
      <c r="F666" s="575">
        <f>'ведом. 2025-2027'!AD744</f>
        <v>1708</v>
      </c>
      <c r="G666" s="441">
        <f>F666</f>
        <v>1708</v>
      </c>
      <c r="H666" s="460">
        <f>'ведом. 2025-2027'!AE744</f>
        <v>1708</v>
      </c>
      <c r="I666" s="583">
        <f>H666</f>
        <v>1708</v>
      </c>
      <c r="J666" s="575">
        <f>'ведом. 2025-2027'!AF744</f>
        <v>1708</v>
      </c>
      <c r="K666" s="441">
        <f>J666</f>
        <v>1708</v>
      </c>
      <c r="L666" s="114"/>
      <c r="N666" s="114"/>
      <c r="O666" s="114"/>
    </row>
    <row r="667" spans="1:15" s="103" customFormat="1" ht="63" x14ac:dyDescent="0.25">
      <c r="A667" s="294" t="s">
        <v>645</v>
      </c>
      <c r="B667" s="509" t="s">
        <v>7</v>
      </c>
      <c r="C667" s="297" t="s">
        <v>29</v>
      </c>
      <c r="D667" s="412" t="s">
        <v>646</v>
      </c>
      <c r="E667" s="552"/>
      <c r="F667" s="575">
        <f>F668</f>
        <v>3490</v>
      </c>
      <c r="G667" s="441">
        <f t="shared" ref="G667:J668" si="132">G668</f>
        <v>3490</v>
      </c>
      <c r="H667" s="460">
        <f t="shared" si="132"/>
        <v>0</v>
      </c>
      <c r="I667" s="583"/>
      <c r="J667" s="575">
        <f t="shared" si="132"/>
        <v>0</v>
      </c>
      <c r="K667" s="441"/>
      <c r="L667" s="114"/>
      <c r="N667" s="114"/>
      <c r="O667" s="114"/>
    </row>
    <row r="668" spans="1:15" s="103" customFormat="1" ht="31.5" x14ac:dyDescent="0.25">
      <c r="A668" s="294" t="s">
        <v>59</v>
      </c>
      <c r="B668" s="509" t="s">
        <v>7</v>
      </c>
      <c r="C668" s="297" t="s">
        <v>29</v>
      </c>
      <c r="D668" s="412" t="s">
        <v>646</v>
      </c>
      <c r="E668" s="552">
        <v>600</v>
      </c>
      <c r="F668" s="575">
        <f>F669</f>
        <v>3490</v>
      </c>
      <c r="G668" s="441">
        <f t="shared" si="132"/>
        <v>3490</v>
      </c>
      <c r="H668" s="460">
        <f t="shared" si="132"/>
        <v>0</v>
      </c>
      <c r="I668" s="583"/>
      <c r="J668" s="575">
        <f t="shared" si="132"/>
        <v>0</v>
      </c>
      <c r="K668" s="441"/>
      <c r="L668" s="19"/>
      <c r="N668" s="114"/>
      <c r="O668" s="114"/>
    </row>
    <row r="669" spans="1:15" s="103" customFormat="1" x14ac:dyDescent="0.25">
      <c r="A669" s="294" t="s">
        <v>60</v>
      </c>
      <c r="B669" s="509" t="s">
        <v>7</v>
      </c>
      <c r="C669" s="297" t="s">
        <v>29</v>
      </c>
      <c r="D669" s="412" t="s">
        <v>646</v>
      </c>
      <c r="E669" s="552">
        <v>610</v>
      </c>
      <c r="F669" s="575">
        <f>'ведом. 2025-2027'!AD747</f>
        <v>3490</v>
      </c>
      <c r="G669" s="441">
        <f>F669</f>
        <v>3490</v>
      </c>
      <c r="H669" s="460">
        <f>'ведом. 2025-2027'!AE747</f>
        <v>0</v>
      </c>
      <c r="I669" s="583"/>
      <c r="J669" s="575">
        <f>'ведом. 2025-2027'!AF747</f>
        <v>0</v>
      </c>
      <c r="K669" s="441"/>
      <c r="L669" s="114"/>
      <c r="N669" s="114"/>
      <c r="O669" s="114"/>
    </row>
    <row r="670" spans="1:15" s="103" customFormat="1" ht="34.5" customHeight="1" x14ac:dyDescent="0.25">
      <c r="A670" s="294" t="s">
        <v>762</v>
      </c>
      <c r="B670" s="509" t="s">
        <v>7</v>
      </c>
      <c r="C670" s="297" t="s">
        <v>29</v>
      </c>
      <c r="D670" s="412" t="s">
        <v>651</v>
      </c>
      <c r="E670" s="552"/>
      <c r="F670" s="575">
        <f t="shared" ref="F670:K671" si="133">F671</f>
        <v>17499</v>
      </c>
      <c r="G670" s="441">
        <f t="shared" si="133"/>
        <v>17499</v>
      </c>
      <c r="H670" s="460">
        <f t="shared" si="133"/>
        <v>27264</v>
      </c>
      <c r="I670" s="583">
        <f t="shared" si="133"/>
        <v>27264</v>
      </c>
      <c r="J670" s="575">
        <f t="shared" si="133"/>
        <v>27264</v>
      </c>
      <c r="K670" s="441">
        <f t="shared" si="133"/>
        <v>27264</v>
      </c>
      <c r="L670" s="114"/>
      <c r="N670" s="114"/>
      <c r="O670" s="114"/>
    </row>
    <row r="671" spans="1:15" s="103" customFormat="1" ht="31.5" x14ac:dyDescent="0.25">
      <c r="A671" s="294" t="s">
        <v>59</v>
      </c>
      <c r="B671" s="509" t="s">
        <v>7</v>
      </c>
      <c r="C671" s="297" t="s">
        <v>29</v>
      </c>
      <c r="D671" s="412" t="s">
        <v>651</v>
      </c>
      <c r="E671" s="552">
        <v>600</v>
      </c>
      <c r="F671" s="575">
        <f t="shared" si="133"/>
        <v>17499</v>
      </c>
      <c r="G671" s="441">
        <f t="shared" si="133"/>
        <v>17499</v>
      </c>
      <c r="H671" s="460">
        <f t="shared" si="133"/>
        <v>27264</v>
      </c>
      <c r="I671" s="583">
        <f t="shared" si="133"/>
        <v>27264</v>
      </c>
      <c r="J671" s="575">
        <f t="shared" si="133"/>
        <v>27264</v>
      </c>
      <c r="K671" s="441">
        <f t="shared" si="133"/>
        <v>27264</v>
      </c>
      <c r="L671" s="114"/>
      <c r="N671" s="114"/>
      <c r="O671" s="114"/>
    </row>
    <row r="672" spans="1:15" s="103" customFormat="1" x14ac:dyDescent="0.25">
      <c r="A672" s="294" t="s">
        <v>60</v>
      </c>
      <c r="B672" s="509" t="s">
        <v>7</v>
      </c>
      <c r="C672" s="297" t="s">
        <v>29</v>
      </c>
      <c r="D672" s="412" t="s">
        <v>651</v>
      </c>
      <c r="E672" s="552">
        <v>610</v>
      </c>
      <c r="F672" s="575">
        <f>'ведом. 2025-2027'!AD750</f>
        <v>17499</v>
      </c>
      <c r="G672" s="441">
        <f>F672</f>
        <v>17499</v>
      </c>
      <c r="H672" s="460">
        <f>'ведом. 2025-2027'!AE750</f>
        <v>27264</v>
      </c>
      <c r="I672" s="583">
        <f>H672</f>
        <v>27264</v>
      </c>
      <c r="J672" s="575">
        <f>'ведом. 2025-2027'!AF750</f>
        <v>27264</v>
      </c>
      <c r="K672" s="441">
        <f>J672</f>
        <v>27264</v>
      </c>
      <c r="L672" s="114"/>
      <c r="N672" s="114"/>
      <c r="O672" s="114"/>
    </row>
    <row r="673" spans="1:15" s="103" customFormat="1" ht="47.25" x14ac:dyDescent="0.25">
      <c r="A673" s="182" t="s">
        <v>265</v>
      </c>
      <c r="B673" s="132" t="s">
        <v>7</v>
      </c>
      <c r="C673" s="331" t="s">
        <v>29</v>
      </c>
      <c r="D673" s="116" t="s">
        <v>124</v>
      </c>
      <c r="E673" s="334"/>
      <c r="F673" s="575">
        <f t="shared" ref="F673:K673" si="134">F674+F677+F680</f>
        <v>46662.299999999996</v>
      </c>
      <c r="G673" s="441">
        <f t="shared" si="134"/>
        <v>41997.9</v>
      </c>
      <c r="H673" s="460">
        <f t="shared" si="134"/>
        <v>51469</v>
      </c>
      <c r="I673" s="583">
        <f t="shared" si="134"/>
        <v>46323.899999999994</v>
      </c>
      <c r="J673" s="575">
        <f t="shared" si="134"/>
        <v>38704.6</v>
      </c>
      <c r="K673" s="441">
        <f t="shared" si="134"/>
        <v>34835.9</v>
      </c>
      <c r="L673" s="114"/>
      <c r="N673" s="114"/>
      <c r="O673" s="114"/>
    </row>
    <row r="674" spans="1:15" s="103" customFormat="1" ht="31.5" x14ac:dyDescent="0.25">
      <c r="A674" s="252" t="s">
        <v>505</v>
      </c>
      <c r="B674" s="132" t="s">
        <v>7</v>
      </c>
      <c r="C674" s="331" t="s">
        <v>29</v>
      </c>
      <c r="D674" s="116" t="s">
        <v>467</v>
      </c>
      <c r="E674" s="334"/>
      <c r="F674" s="575">
        <f t="shared" ref="F674:K675" si="135">F675</f>
        <v>18</v>
      </c>
      <c r="G674" s="441">
        <f t="shared" si="135"/>
        <v>18</v>
      </c>
      <c r="H674" s="460">
        <f t="shared" si="135"/>
        <v>18</v>
      </c>
      <c r="I674" s="583">
        <f t="shared" si="135"/>
        <v>18</v>
      </c>
      <c r="J674" s="575">
        <f t="shared" si="135"/>
        <v>18</v>
      </c>
      <c r="K674" s="441">
        <f t="shared" si="135"/>
        <v>18</v>
      </c>
      <c r="L674" s="114"/>
      <c r="N674" s="114"/>
      <c r="O674" s="114"/>
    </row>
    <row r="675" spans="1:15" s="103" customFormat="1" ht="31.5" x14ac:dyDescent="0.25">
      <c r="A675" s="252" t="s">
        <v>59</v>
      </c>
      <c r="B675" s="132" t="s">
        <v>7</v>
      </c>
      <c r="C675" s="331" t="s">
        <v>29</v>
      </c>
      <c r="D675" s="116" t="s">
        <v>467</v>
      </c>
      <c r="E675" s="205">
        <v>600</v>
      </c>
      <c r="F675" s="575">
        <f t="shared" si="135"/>
        <v>18</v>
      </c>
      <c r="G675" s="441">
        <f t="shared" si="135"/>
        <v>18</v>
      </c>
      <c r="H675" s="460">
        <f t="shared" si="135"/>
        <v>18</v>
      </c>
      <c r="I675" s="583">
        <f t="shared" si="135"/>
        <v>18</v>
      </c>
      <c r="J675" s="575">
        <f t="shared" si="135"/>
        <v>18</v>
      </c>
      <c r="K675" s="441">
        <f t="shared" si="135"/>
        <v>18</v>
      </c>
      <c r="L675" s="114"/>
      <c r="N675" s="114"/>
      <c r="O675" s="114"/>
    </row>
    <row r="676" spans="1:15" s="103" customFormat="1" x14ac:dyDescent="0.25">
      <c r="A676" s="252" t="s">
        <v>60</v>
      </c>
      <c r="B676" s="132" t="s">
        <v>7</v>
      </c>
      <c r="C676" s="331" t="s">
        <v>29</v>
      </c>
      <c r="D676" s="116" t="s">
        <v>467</v>
      </c>
      <c r="E676" s="205">
        <v>610</v>
      </c>
      <c r="F676" s="575">
        <f>'ведом. 2025-2027'!AD754</f>
        <v>18</v>
      </c>
      <c r="G676" s="441">
        <f>F676</f>
        <v>18</v>
      </c>
      <c r="H676" s="460">
        <f>'ведом. 2025-2027'!AE754</f>
        <v>18</v>
      </c>
      <c r="I676" s="583">
        <f>H676</f>
        <v>18</v>
      </c>
      <c r="J676" s="575">
        <f>'ведом. 2025-2027'!AF754</f>
        <v>18</v>
      </c>
      <c r="K676" s="441">
        <f>J676</f>
        <v>18</v>
      </c>
      <c r="L676" s="114"/>
      <c r="N676" s="114"/>
      <c r="O676" s="114"/>
    </row>
    <row r="677" spans="1:15" s="103" customFormat="1" ht="63" x14ac:dyDescent="0.25">
      <c r="A677" s="294" t="s">
        <v>732</v>
      </c>
      <c r="B677" s="132" t="s">
        <v>7</v>
      </c>
      <c r="C677" s="331" t="s">
        <v>29</v>
      </c>
      <c r="D677" s="21" t="s">
        <v>731</v>
      </c>
      <c r="E677" s="334"/>
      <c r="F677" s="575">
        <f t="shared" ref="F677:J678" si="136">F678</f>
        <v>39953.799999999996</v>
      </c>
      <c r="G677" s="441">
        <f t="shared" si="136"/>
        <v>35958.400000000001</v>
      </c>
      <c r="H677" s="460">
        <f t="shared" si="136"/>
        <v>39547.4</v>
      </c>
      <c r="I677" s="583">
        <f t="shared" si="136"/>
        <v>35592.699999999997</v>
      </c>
      <c r="J677" s="575">
        <f t="shared" si="136"/>
        <v>38686.6</v>
      </c>
      <c r="K677" s="441">
        <f>K678</f>
        <v>34817.9</v>
      </c>
      <c r="L677" s="114"/>
      <c r="N677" s="114"/>
      <c r="O677" s="114"/>
    </row>
    <row r="678" spans="1:15" s="103" customFormat="1" x14ac:dyDescent="0.25">
      <c r="A678" s="198" t="s">
        <v>118</v>
      </c>
      <c r="B678" s="132" t="s">
        <v>7</v>
      </c>
      <c r="C678" s="331" t="s">
        <v>29</v>
      </c>
      <c r="D678" s="21" t="s">
        <v>731</v>
      </c>
      <c r="E678" s="334">
        <v>200</v>
      </c>
      <c r="F678" s="575">
        <f t="shared" si="136"/>
        <v>39953.799999999996</v>
      </c>
      <c r="G678" s="441">
        <f t="shared" si="136"/>
        <v>35958.400000000001</v>
      </c>
      <c r="H678" s="460">
        <f t="shared" si="136"/>
        <v>39547.4</v>
      </c>
      <c r="I678" s="583">
        <f t="shared" si="136"/>
        <v>35592.699999999997</v>
      </c>
      <c r="J678" s="575">
        <f t="shared" si="136"/>
        <v>38686.6</v>
      </c>
      <c r="K678" s="441">
        <f>K679</f>
        <v>34817.9</v>
      </c>
      <c r="L678" s="114"/>
      <c r="N678" s="114"/>
      <c r="O678" s="114"/>
    </row>
    <row r="679" spans="1:15" s="103" customFormat="1" ht="31.5" x14ac:dyDescent="0.25">
      <c r="A679" s="198" t="s">
        <v>51</v>
      </c>
      <c r="B679" s="132" t="s">
        <v>7</v>
      </c>
      <c r="C679" s="331" t="s">
        <v>29</v>
      </c>
      <c r="D679" s="21" t="s">
        <v>731</v>
      </c>
      <c r="E679" s="334">
        <v>240</v>
      </c>
      <c r="F679" s="575">
        <f>'ведом. 2025-2027'!AD757</f>
        <v>39953.799999999996</v>
      </c>
      <c r="G679" s="441">
        <v>35958.400000000001</v>
      </c>
      <c r="H679" s="460">
        <f>'ведом. 2025-2027'!AE757</f>
        <v>39547.4</v>
      </c>
      <c r="I679" s="583">
        <v>35592.699999999997</v>
      </c>
      <c r="J679" s="575">
        <f>'ведом. 2025-2027'!AF757</f>
        <v>38686.6</v>
      </c>
      <c r="K679" s="441">
        <v>34817.9</v>
      </c>
      <c r="L679" s="114"/>
      <c r="M679" s="114"/>
      <c r="N679" s="114"/>
      <c r="O679" s="114"/>
    </row>
    <row r="680" spans="1:15" s="103" customFormat="1" ht="31.5" x14ac:dyDescent="0.25">
      <c r="A680" s="294" t="s">
        <v>817</v>
      </c>
      <c r="B680" s="509" t="s">
        <v>7</v>
      </c>
      <c r="C680" s="297" t="s">
        <v>29</v>
      </c>
      <c r="D680" s="412" t="s">
        <v>818</v>
      </c>
      <c r="E680" s="552"/>
      <c r="F680" s="575">
        <f>F681</f>
        <v>6690.5</v>
      </c>
      <c r="G680" s="441">
        <f t="shared" ref="G680:J681" si="137">G681</f>
        <v>6021.5</v>
      </c>
      <c r="H680" s="460">
        <f t="shared" si="137"/>
        <v>11903.6</v>
      </c>
      <c r="I680" s="583">
        <f t="shared" si="137"/>
        <v>10713.2</v>
      </c>
      <c r="J680" s="575">
        <f t="shared" si="137"/>
        <v>0</v>
      </c>
      <c r="K680" s="441"/>
      <c r="L680" s="114"/>
      <c r="M680" s="114"/>
      <c r="N680" s="114"/>
      <c r="O680" s="114"/>
    </row>
    <row r="681" spans="1:15" s="103" customFormat="1" x14ac:dyDescent="0.25">
      <c r="A681" s="294" t="s">
        <v>118</v>
      </c>
      <c r="B681" s="509" t="s">
        <v>7</v>
      </c>
      <c r="C681" s="297" t="s">
        <v>29</v>
      </c>
      <c r="D681" s="412" t="s">
        <v>818</v>
      </c>
      <c r="E681" s="552">
        <v>200</v>
      </c>
      <c r="F681" s="575">
        <f>F682</f>
        <v>6690.5</v>
      </c>
      <c r="G681" s="441">
        <f t="shared" si="137"/>
        <v>6021.5</v>
      </c>
      <c r="H681" s="460">
        <f t="shared" si="137"/>
        <v>11903.6</v>
      </c>
      <c r="I681" s="583">
        <f t="shared" si="137"/>
        <v>10713.2</v>
      </c>
      <c r="J681" s="575">
        <f t="shared" si="137"/>
        <v>0</v>
      </c>
      <c r="K681" s="441"/>
      <c r="L681" s="114"/>
      <c r="M681" s="114"/>
      <c r="N681" s="114"/>
      <c r="O681" s="114"/>
    </row>
    <row r="682" spans="1:15" s="103" customFormat="1" ht="31.5" x14ac:dyDescent="0.25">
      <c r="A682" s="294" t="s">
        <v>51</v>
      </c>
      <c r="B682" s="509" t="s">
        <v>7</v>
      </c>
      <c r="C682" s="297" t="s">
        <v>29</v>
      </c>
      <c r="D682" s="412" t="s">
        <v>818</v>
      </c>
      <c r="E682" s="552">
        <v>240</v>
      </c>
      <c r="F682" s="575">
        <f>'ведом. 2025-2027'!AD760</f>
        <v>6690.5</v>
      </c>
      <c r="G682" s="441">
        <v>6021.5</v>
      </c>
      <c r="H682" s="460">
        <f>'ведом. 2025-2027'!AE760</f>
        <v>11903.6</v>
      </c>
      <c r="I682" s="583">
        <v>10713.2</v>
      </c>
      <c r="J682" s="575">
        <f>'ведом. 2025-2027'!AF760</f>
        <v>0</v>
      </c>
      <c r="K682" s="441"/>
      <c r="L682" s="114"/>
      <c r="M682" s="114"/>
      <c r="N682" s="114"/>
      <c r="O682" s="114"/>
    </row>
    <row r="683" spans="1:15" s="103" customFormat="1" x14ac:dyDescent="0.25">
      <c r="A683" s="294" t="s">
        <v>822</v>
      </c>
      <c r="B683" s="509" t="s">
        <v>7</v>
      </c>
      <c r="C683" s="297" t="s">
        <v>29</v>
      </c>
      <c r="D683" s="409" t="s">
        <v>824</v>
      </c>
      <c r="E683" s="552"/>
      <c r="F683" s="575">
        <f>F684</f>
        <v>8763.1</v>
      </c>
      <c r="G683" s="441"/>
      <c r="H683" s="460">
        <f t="shared" ref="H683:J685" si="138">H684</f>
        <v>0</v>
      </c>
      <c r="I683" s="583"/>
      <c r="J683" s="575">
        <f t="shared" si="138"/>
        <v>0</v>
      </c>
      <c r="K683" s="441"/>
      <c r="L683" s="114"/>
      <c r="M683" s="114"/>
      <c r="N683" s="114"/>
      <c r="O683" s="114"/>
    </row>
    <row r="684" spans="1:15" s="103" customFormat="1" x14ac:dyDescent="0.25">
      <c r="A684" s="294" t="s">
        <v>823</v>
      </c>
      <c r="B684" s="509" t="s">
        <v>7</v>
      </c>
      <c r="C684" s="297" t="s">
        <v>29</v>
      </c>
      <c r="D684" s="409" t="s">
        <v>825</v>
      </c>
      <c r="E684" s="552"/>
      <c r="F684" s="575">
        <f>F685</f>
        <v>8763.1</v>
      </c>
      <c r="G684" s="441"/>
      <c r="H684" s="460">
        <f t="shared" si="138"/>
        <v>0</v>
      </c>
      <c r="I684" s="583"/>
      <c r="J684" s="575">
        <f t="shared" si="138"/>
        <v>0</v>
      </c>
      <c r="K684" s="441"/>
      <c r="L684" s="114"/>
      <c r="M684" s="114"/>
      <c r="N684" s="114"/>
      <c r="O684" s="114"/>
    </row>
    <row r="685" spans="1:15" s="103" customFormat="1" ht="31.5" x14ac:dyDescent="0.25">
      <c r="A685" s="294" t="s">
        <v>59</v>
      </c>
      <c r="B685" s="509" t="s">
        <v>7</v>
      </c>
      <c r="C685" s="297" t="s">
        <v>29</v>
      </c>
      <c r="D685" s="409" t="s">
        <v>825</v>
      </c>
      <c r="E685" s="551">
        <v>600</v>
      </c>
      <c r="F685" s="575">
        <f>F686</f>
        <v>8763.1</v>
      </c>
      <c r="G685" s="441"/>
      <c r="H685" s="460">
        <f t="shared" si="138"/>
        <v>0</v>
      </c>
      <c r="I685" s="583"/>
      <c r="J685" s="575">
        <f t="shared" si="138"/>
        <v>0</v>
      </c>
      <c r="K685" s="441"/>
      <c r="L685" s="114"/>
      <c r="M685" s="114"/>
      <c r="N685" s="114"/>
      <c r="O685" s="114"/>
    </row>
    <row r="686" spans="1:15" s="103" customFormat="1" x14ac:dyDescent="0.25">
      <c r="A686" s="294" t="s">
        <v>60</v>
      </c>
      <c r="B686" s="509" t="s">
        <v>7</v>
      </c>
      <c r="C686" s="297" t="s">
        <v>29</v>
      </c>
      <c r="D686" s="409" t="s">
        <v>825</v>
      </c>
      <c r="E686" s="551">
        <v>610</v>
      </c>
      <c r="F686" s="575">
        <f>'ведом. 2025-2027'!AD764</f>
        <v>8763.1</v>
      </c>
      <c r="G686" s="441"/>
      <c r="H686" s="460">
        <f>'ведом. 2025-2027'!AE764</f>
        <v>0</v>
      </c>
      <c r="I686" s="583"/>
      <c r="J686" s="575">
        <f>'ведом. 2025-2027'!AF764</f>
        <v>0</v>
      </c>
      <c r="K686" s="441"/>
      <c r="L686" s="114"/>
      <c r="M686" s="114"/>
      <c r="N686" s="114"/>
      <c r="O686" s="114"/>
    </row>
    <row r="687" spans="1:15" s="103" customFormat="1" ht="47.25" x14ac:dyDescent="0.25">
      <c r="A687" s="182" t="s">
        <v>310</v>
      </c>
      <c r="B687" s="132" t="s">
        <v>7</v>
      </c>
      <c r="C687" s="331" t="s">
        <v>29</v>
      </c>
      <c r="D687" s="116" t="s">
        <v>468</v>
      </c>
      <c r="E687" s="205"/>
      <c r="F687" s="575">
        <f t="shared" ref="F687:K687" si="139">F688+F691</f>
        <v>5379.9</v>
      </c>
      <c r="G687" s="441">
        <f t="shared" si="139"/>
        <v>3514</v>
      </c>
      <c r="H687" s="460">
        <f t="shared" si="139"/>
        <v>5237.8999999999996</v>
      </c>
      <c r="I687" s="583">
        <f t="shared" si="139"/>
        <v>3372</v>
      </c>
      <c r="J687" s="575">
        <f t="shared" si="139"/>
        <v>5237.8999999999996</v>
      </c>
      <c r="K687" s="441">
        <f t="shared" si="139"/>
        <v>3372</v>
      </c>
      <c r="L687" s="114"/>
      <c r="N687" s="114"/>
      <c r="O687" s="114"/>
    </row>
    <row r="688" spans="1:15" s="103" customFormat="1" ht="47.25" x14ac:dyDescent="0.25">
      <c r="A688" s="182" t="s">
        <v>427</v>
      </c>
      <c r="B688" s="132" t="s">
        <v>7</v>
      </c>
      <c r="C688" s="331" t="s">
        <v>29</v>
      </c>
      <c r="D688" s="116" t="s">
        <v>469</v>
      </c>
      <c r="E688" s="205"/>
      <c r="F688" s="575">
        <f>F689</f>
        <v>1865.9</v>
      </c>
      <c r="G688" s="441"/>
      <c r="H688" s="460">
        <f>H689</f>
        <v>1865.9</v>
      </c>
      <c r="I688" s="583"/>
      <c r="J688" s="575">
        <f>J689</f>
        <v>1865.9</v>
      </c>
      <c r="K688" s="441"/>
      <c r="L688" s="114"/>
      <c r="N688" s="114"/>
      <c r="O688" s="114"/>
    </row>
    <row r="689" spans="1:15" s="103" customFormat="1" ht="31.5" x14ac:dyDescent="0.25">
      <c r="A689" s="252" t="s">
        <v>59</v>
      </c>
      <c r="B689" s="132" t="s">
        <v>7</v>
      </c>
      <c r="C689" s="331" t="s">
        <v>29</v>
      </c>
      <c r="D689" s="116" t="s">
        <v>469</v>
      </c>
      <c r="E689" s="205">
        <v>600</v>
      </c>
      <c r="F689" s="575">
        <f>F690</f>
        <v>1865.9</v>
      </c>
      <c r="G689" s="441"/>
      <c r="H689" s="460">
        <f>H690</f>
        <v>1865.9</v>
      </c>
      <c r="I689" s="583"/>
      <c r="J689" s="575">
        <f>J690</f>
        <v>1865.9</v>
      </c>
      <c r="K689" s="441"/>
      <c r="L689" s="114"/>
      <c r="N689" s="114"/>
      <c r="O689" s="114"/>
    </row>
    <row r="690" spans="1:15" s="103" customFormat="1" x14ac:dyDescent="0.25">
      <c r="A690" s="252" t="s">
        <v>60</v>
      </c>
      <c r="B690" s="132" t="s">
        <v>7</v>
      </c>
      <c r="C690" s="331" t="s">
        <v>29</v>
      </c>
      <c r="D690" s="116" t="s">
        <v>469</v>
      </c>
      <c r="E690" s="205">
        <v>610</v>
      </c>
      <c r="F690" s="575">
        <f>'ведом. 2025-2027'!AD768</f>
        <v>1865.9</v>
      </c>
      <c r="G690" s="441"/>
      <c r="H690" s="460">
        <f>'ведом. 2025-2027'!AE768</f>
        <v>1865.9</v>
      </c>
      <c r="I690" s="583"/>
      <c r="J690" s="575">
        <f>'ведом. 2025-2027'!AF768</f>
        <v>1865.9</v>
      </c>
      <c r="K690" s="441"/>
      <c r="L690" s="114"/>
      <c r="N690" s="114"/>
      <c r="O690" s="114"/>
    </row>
    <row r="691" spans="1:15" s="103" customFormat="1" ht="63" x14ac:dyDescent="0.25">
      <c r="A691" s="255" t="s">
        <v>614</v>
      </c>
      <c r="B691" s="132" t="s">
        <v>7</v>
      </c>
      <c r="C691" s="331" t="s">
        <v>29</v>
      </c>
      <c r="D691" s="116" t="s">
        <v>612</v>
      </c>
      <c r="E691" s="207"/>
      <c r="F691" s="575">
        <f>F692</f>
        <v>3514</v>
      </c>
      <c r="G691" s="441">
        <f t="shared" ref="G691:K692" si="140">G692</f>
        <v>3514</v>
      </c>
      <c r="H691" s="460">
        <f t="shared" si="140"/>
        <v>3372</v>
      </c>
      <c r="I691" s="583">
        <f t="shared" si="140"/>
        <v>3372</v>
      </c>
      <c r="J691" s="575">
        <f t="shared" si="140"/>
        <v>3372</v>
      </c>
      <c r="K691" s="441">
        <f t="shared" si="140"/>
        <v>3372</v>
      </c>
      <c r="L691" s="114"/>
      <c r="N691" s="114"/>
      <c r="O691" s="114"/>
    </row>
    <row r="692" spans="1:15" s="103" customFormat="1" ht="31.5" x14ac:dyDescent="0.25">
      <c r="A692" s="255" t="s">
        <v>59</v>
      </c>
      <c r="B692" s="132" t="s">
        <v>7</v>
      </c>
      <c r="C692" s="331" t="s">
        <v>29</v>
      </c>
      <c r="D692" s="116" t="s">
        <v>612</v>
      </c>
      <c r="E692" s="205">
        <v>600</v>
      </c>
      <c r="F692" s="575">
        <f>F693</f>
        <v>3514</v>
      </c>
      <c r="G692" s="441">
        <f t="shared" si="140"/>
        <v>3514</v>
      </c>
      <c r="H692" s="460">
        <f t="shared" si="140"/>
        <v>3372</v>
      </c>
      <c r="I692" s="583">
        <f t="shared" si="140"/>
        <v>3372</v>
      </c>
      <c r="J692" s="575">
        <f t="shared" si="140"/>
        <v>3372</v>
      </c>
      <c r="K692" s="441">
        <f t="shared" si="140"/>
        <v>3372</v>
      </c>
      <c r="L692" s="114"/>
      <c r="N692" s="114"/>
      <c r="O692" s="114"/>
    </row>
    <row r="693" spans="1:15" s="103" customFormat="1" x14ac:dyDescent="0.25">
      <c r="A693" s="255" t="s">
        <v>60</v>
      </c>
      <c r="B693" s="132" t="s">
        <v>7</v>
      </c>
      <c r="C693" s="331" t="s">
        <v>29</v>
      </c>
      <c r="D693" s="116" t="s">
        <v>612</v>
      </c>
      <c r="E693" s="205">
        <v>610</v>
      </c>
      <c r="F693" s="575">
        <f>'ведом. 2025-2027'!AD771</f>
        <v>3514</v>
      </c>
      <c r="G693" s="441">
        <f>F693</f>
        <v>3514</v>
      </c>
      <c r="H693" s="460">
        <f>'ведом. 2025-2027'!AE771</f>
        <v>3372</v>
      </c>
      <c r="I693" s="583">
        <f>H693</f>
        <v>3372</v>
      </c>
      <c r="J693" s="575">
        <f>'ведом. 2025-2027'!AF771</f>
        <v>3372</v>
      </c>
      <c r="K693" s="441">
        <f>J693</f>
        <v>3372</v>
      </c>
      <c r="L693" s="114"/>
      <c r="N693" s="114"/>
      <c r="O693" s="114"/>
    </row>
    <row r="694" spans="1:15" s="103" customFormat="1" x14ac:dyDescent="0.25">
      <c r="A694" s="255" t="s">
        <v>725</v>
      </c>
      <c r="B694" s="132" t="s">
        <v>7</v>
      </c>
      <c r="C694" s="331" t="s">
        <v>29</v>
      </c>
      <c r="D694" s="116" t="s">
        <v>726</v>
      </c>
      <c r="E694" s="205"/>
      <c r="F694" s="575">
        <f t="shared" ref="F694:H696" si="141">F695</f>
        <v>2483.4</v>
      </c>
      <c r="G694" s="441">
        <f t="shared" si="141"/>
        <v>1970.9</v>
      </c>
      <c r="H694" s="460">
        <f t="shared" si="141"/>
        <v>0</v>
      </c>
      <c r="I694" s="583"/>
      <c r="J694" s="575">
        <f>J695</f>
        <v>0</v>
      </c>
      <c r="K694" s="441"/>
      <c r="L694" s="114"/>
      <c r="N694" s="114"/>
      <c r="O694" s="114"/>
    </row>
    <row r="695" spans="1:15" s="103" customFormat="1" ht="30" customHeight="1" x14ac:dyDescent="0.25">
      <c r="A695" s="255" t="s">
        <v>727</v>
      </c>
      <c r="B695" s="132" t="s">
        <v>7</v>
      </c>
      <c r="C695" s="331" t="s">
        <v>29</v>
      </c>
      <c r="D695" s="116" t="s">
        <v>728</v>
      </c>
      <c r="E695" s="205"/>
      <c r="F695" s="575">
        <f t="shared" si="141"/>
        <v>2483.4</v>
      </c>
      <c r="G695" s="441">
        <f t="shared" si="141"/>
        <v>1970.9</v>
      </c>
      <c r="H695" s="460">
        <f t="shared" si="141"/>
        <v>0</v>
      </c>
      <c r="I695" s="583"/>
      <c r="J695" s="575">
        <f>J696</f>
        <v>0</v>
      </c>
      <c r="K695" s="441"/>
      <c r="L695" s="114"/>
      <c r="N695" s="114"/>
      <c r="O695" s="114"/>
    </row>
    <row r="696" spans="1:15" s="103" customFormat="1" x14ac:dyDescent="0.25">
      <c r="A696" s="198" t="s">
        <v>118</v>
      </c>
      <c r="B696" s="132" t="s">
        <v>7</v>
      </c>
      <c r="C696" s="331" t="s">
        <v>29</v>
      </c>
      <c r="D696" s="116" t="s">
        <v>728</v>
      </c>
      <c r="E696" s="205">
        <v>200</v>
      </c>
      <c r="F696" s="575">
        <f t="shared" si="141"/>
        <v>2483.4</v>
      </c>
      <c r="G696" s="441">
        <f t="shared" si="141"/>
        <v>1970.9</v>
      </c>
      <c r="H696" s="460">
        <f t="shared" si="141"/>
        <v>0</v>
      </c>
      <c r="I696" s="583"/>
      <c r="J696" s="575">
        <f>J697</f>
        <v>0</v>
      </c>
      <c r="K696" s="441"/>
      <c r="L696" s="114"/>
      <c r="N696" s="114"/>
      <c r="O696" s="114"/>
    </row>
    <row r="697" spans="1:15" s="103" customFormat="1" ht="31.5" x14ac:dyDescent="0.25">
      <c r="A697" s="198" t="s">
        <v>51</v>
      </c>
      <c r="B697" s="132" t="s">
        <v>7</v>
      </c>
      <c r="C697" s="331" t="s">
        <v>29</v>
      </c>
      <c r="D697" s="116" t="s">
        <v>728</v>
      </c>
      <c r="E697" s="205">
        <v>240</v>
      </c>
      <c r="F697" s="575">
        <f>'ведом. 2025-2027'!AD775</f>
        <v>2483.4</v>
      </c>
      <c r="G697" s="441">
        <v>1970.9</v>
      </c>
      <c r="H697" s="460">
        <f>'ведом. 2025-2027'!AE775</f>
        <v>0</v>
      </c>
      <c r="I697" s="583"/>
      <c r="J697" s="575">
        <f>'ведом. 2025-2027'!AF775</f>
        <v>0</v>
      </c>
      <c r="K697" s="441"/>
      <c r="L697" s="114"/>
      <c r="N697" s="114"/>
      <c r="O697" s="114"/>
    </row>
    <row r="698" spans="1:15" s="103" customFormat="1" x14ac:dyDescent="0.25">
      <c r="A698" s="255" t="s">
        <v>647</v>
      </c>
      <c r="B698" s="132" t="s">
        <v>7</v>
      </c>
      <c r="C698" s="331" t="s">
        <v>29</v>
      </c>
      <c r="D698" s="116" t="s">
        <v>648</v>
      </c>
      <c r="E698" s="205"/>
      <c r="F698" s="575">
        <f t="shared" ref="F698:K698" si="142">F702+F705+F699</f>
        <v>40116</v>
      </c>
      <c r="G698" s="441">
        <f t="shared" si="142"/>
        <v>40116</v>
      </c>
      <c r="H698" s="460">
        <f t="shared" si="142"/>
        <v>40141.5</v>
      </c>
      <c r="I698" s="583">
        <f t="shared" si="142"/>
        <v>40141.5</v>
      </c>
      <c r="J698" s="575">
        <f t="shared" si="142"/>
        <v>40172.5</v>
      </c>
      <c r="K698" s="441">
        <f t="shared" si="142"/>
        <v>40172.5</v>
      </c>
      <c r="L698" s="114"/>
      <c r="N698" s="114"/>
      <c r="O698" s="114"/>
    </row>
    <row r="699" spans="1:15" s="103" customFormat="1" ht="94.5" x14ac:dyDescent="0.25">
      <c r="A699" s="255" t="s">
        <v>729</v>
      </c>
      <c r="B699" s="132" t="s">
        <v>7</v>
      </c>
      <c r="C699" s="331" t="s">
        <v>29</v>
      </c>
      <c r="D699" s="116" t="s">
        <v>730</v>
      </c>
      <c r="E699" s="205"/>
      <c r="F699" s="575">
        <f t="shared" ref="F699:K700" si="143">F700</f>
        <v>312.5</v>
      </c>
      <c r="G699" s="441">
        <f t="shared" si="143"/>
        <v>312.5</v>
      </c>
      <c r="H699" s="460">
        <f t="shared" si="143"/>
        <v>312.5</v>
      </c>
      <c r="I699" s="583">
        <f t="shared" si="143"/>
        <v>312.5</v>
      </c>
      <c r="J699" s="575">
        <f t="shared" si="143"/>
        <v>312.5</v>
      </c>
      <c r="K699" s="441">
        <f t="shared" si="143"/>
        <v>312.5</v>
      </c>
      <c r="L699" s="114"/>
      <c r="N699" s="114"/>
      <c r="O699" s="114"/>
    </row>
    <row r="700" spans="1:15" s="103" customFormat="1" ht="31.5" x14ac:dyDescent="0.25">
      <c r="A700" s="255" t="s">
        <v>59</v>
      </c>
      <c r="B700" s="132" t="s">
        <v>7</v>
      </c>
      <c r="C700" s="331" t="s">
        <v>29</v>
      </c>
      <c r="D700" s="116" t="s">
        <v>730</v>
      </c>
      <c r="E700" s="205">
        <v>600</v>
      </c>
      <c r="F700" s="575">
        <f t="shared" si="143"/>
        <v>312.5</v>
      </c>
      <c r="G700" s="441">
        <f t="shared" si="143"/>
        <v>312.5</v>
      </c>
      <c r="H700" s="460">
        <f t="shared" si="143"/>
        <v>312.5</v>
      </c>
      <c r="I700" s="583">
        <f t="shared" si="143"/>
        <v>312.5</v>
      </c>
      <c r="J700" s="575">
        <f t="shared" si="143"/>
        <v>312.5</v>
      </c>
      <c r="K700" s="441">
        <f t="shared" si="143"/>
        <v>312.5</v>
      </c>
      <c r="L700" s="114"/>
      <c r="N700" s="114"/>
      <c r="O700" s="114"/>
    </row>
    <row r="701" spans="1:15" s="103" customFormat="1" x14ac:dyDescent="0.25">
      <c r="A701" s="255" t="s">
        <v>60</v>
      </c>
      <c r="B701" s="132" t="s">
        <v>7</v>
      </c>
      <c r="C701" s="331" t="s">
        <v>29</v>
      </c>
      <c r="D701" s="116" t="s">
        <v>730</v>
      </c>
      <c r="E701" s="205">
        <v>610</v>
      </c>
      <c r="F701" s="575">
        <f>'ведом. 2025-2027'!AD779</f>
        <v>312.5</v>
      </c>
      <c r="G701" s="441">
        <f>F701</f>
        <v>312.5</v>
      </c>
      <c r="H701" s="460">
        <f>'ведом. 2025-2027'!AE779</f>
        <v>312.5</v>
      </c>
      <c r="I701" s="583">
        <f>H701</f>
        <v>312.5</v>
      </c>
      <c r="J701" s="575">
        <f>'ведом. 2025-2027'!AF779</f>
        <v>312.5</v>
      </c>
      <c r="K701" s="441">
        <f>J701</f>
        <v>312.5</v>
      </c>
      <c r="L701" s="114"/>
      <c r="N701" s="114"/>
      <c r="O701" s="114"/>
    </row>
    <row r="702" spans="1:15" s="103" customFormat="1" ht="47.25" x14ac:dyDescent="0.25">
      <c r="A702" s="255" t="s">
        <v>652</v>
      </c>
      <c r="B702" s="132" t="s">
        <v>7</v>
      </c>
      <c r="C702" s="331" t="s">
        <v>29</v>
      </c>
      <c r="D702" s="116" t="s">
        <v>653</v>
      </c>
      <c r="E702" s="205"/>
      <c r="F702" s="575">
        <f>F703</f>
        <v>1680.5</v>
      </c>
      <c r="G702" s="441">
        <f t="shared" ref="G702:K703" si="144">G703</f>
        <v>1680.5</v>
      </c>
      <c r="H702" s="460">
        <f t="shared" si="144"/>
        <v>1706</v>
      </c>
      <c r="I702" s="583">
        <f t="shared" si="144"/>
        <v>1706</v>
      </c>
      <c r="J702" s="575">
        <f t="shared" si="144"/>
        <v>1737</v>
      </c>
      <c r="K702" s="441">
        <f t="shared" si="144"/>
        <v>1737</v>
      </c>
      <c r="L702" s="114"/>
      <c r="N702" s="114"/>
      <c r="O702" s="114"/>
    </row>
    <row r="703" spans="1:15" s="103" customFormat="1" ht="31.5" x14ac:dyDescent="0.25">
      <c r="A703" s="294" t="s">
        <v>59</v>
      </c>
      <c r="B703" s="132" t="s">
        <v>7</v>
      </c>
      <c r="C703" s="331" t="s">
        <v>29</v>
      </c>
      <c r="D703" s="116" t="s">
        <v>653</v>
      </c>
      <c r="E703" s="205">
        <v>600</v>
      </c>
      <c r="F703" s="575">
        <f>F704</f>
        <v>1680.5</v>
      </c>
      <c r="G703" s="441">
        <f t="shared" si="144"/>
        <v>1680.5</v>
      </c>
      <c r="H703" s="460">
        <f t="shared" si="144"/>
        <v>1706</v>
      </c>
      <c r="I703" s="583">
        <f t="shared" si="144"/>
        <v>1706</v>
      </c>
      <c r="J703" s="575">
        <f t="shared" si="144"/>
        <v>1737</v>
      </c>
      <c r="K703" s="441">
        <f t="shared" si="144"/>
        <v>1737</v>
      </c>
      <c r="L703" s="114"/>
      <c r="N703" s="114"/>
      <c r="O703" s="114"/>
    </row>
    <row r="704" spans="1:15" s="103" customFormat="1" x14ac:dyDescent="0.25">
      <c r="A704" s="294" t="s">
        <v>60</v>
      </c>
      <c r="B704" s="132" t="s">
        <v>7</v>
      </c>
      <c r="C704" s="331" t="s">
        <v>29</v>
      </c>
      <c r="D704" s="116" t="s">
        <v>653</v>
      </c>
      <c r="E704" s="205">
        <v>610</v>
      </c>
      <c r="F704" s="575">
        <f>'ведом. 2025-2027'!AD782</f>
        <v>1680.5</v>
      </c>
      <c r="G704" s="441">
        <f>F704</f>
        <v>1680.5</v>
      </c>
      <c r="H704" s="460">
        <f>'ведом. 2025-2027'!AE782</f>
        <v>1706</v>
      </c>
      <c r="I704" s="583">
        <f>H704</f>
        <v>1706</v>
      </c>
      <c r="J704" s="575">
        <f>'ведом. 2025-2027'!AF782</f>
        <v>1737</v>
      </c>
      <c r="K704" s="441">
        <f>J704</f>
        <v>1737</v>
      </c>
      <c r="L704" s="114"/>
      <c r="N704" s="114"/>
      <c r="O704" s="114"/>
    </row>
    <row r="705" spans="1:15" s="103" customFormat="1" ht="63" x14ac:dyDescent="0.25">
      <c r="A705" s="255" t="s">
        <v>649</v>
      </c>
      <c r="B705" s="132" t="s">
        <v>7</v>
      </c>
      <c r="C705" s="331" t="s">
        <v>29</v>
      </c>
      <c r="D705" s="116" t="s">
        <v>650</v>
      </c>
      <c r="E705" s="205"/>
      <c r="F705" s="575">
        <f>F706</f>
        <v>38123</v>
      </c>
      <c r="G705" s="441">
        <f t="shared" ref="G705:K706" si="145">G706</f>
        <v>38123</v>
      </c>
      <c r="H705" s="460">
        <f t="shared" si="145"/>
        <v>38123</v>
      </c>
      <c r="I705" s="583">
        <f t="shared" si="145"/>
        <v>38123</v>
      </c>
      <c r="J705" s="575">
        <f t="shared" si="145"/>
        <v>38123</v>
      </c>
      <c r="K705" s="441">
        <f t="shared" si="145"/>
        <v>38123</v>
      </c>
      <c r="L705" s="114"/>
      <c r="N705" s="114"/>
      <c r="O705" s="114"/>
    </row>
    <row r="706" spans="1:15" s="103" customFormat="1" ht="31.5" x14ac:dyDescent="0.25">
      <c r="A706" s="255" t="s">
        <v>59</v>
      </c>
      <c r="B706" s="132" t="s">
        <v>7</v>
      </c>
      <c r="C706" s="331" t="s">
        <v>29</v>
      </c>
      <c r="D706" s="116" t="s">
        <v>650</v>
      </c>
      <c r="E706" s="205">
        <v>600</v>
      </c>
      <c r="F706" s="575">
        <f>F707</f>
        <v>38123</v>
      </c>
      <c r="G706" s="441">
        <f t="shared" si="145"/>
        <v>38123</v>
      </c>
      <c r="H706" s="460">
        <f t="shared" si="145"/>
        <v>38123</v>
      </c>
      <c r="I706" s="583">
        <f t="shared" si="145"/>
        <v>38123</v>
      </c>
      <c r="J706" s="575">
        <f t="shared" si="145"/>
        <v>38123</v>
      </c>
      <c r="K706" s="441">
        <f t="shared" si="145"/>
        <v>38123</v>
      </c>
      <c r="L706" s="114"/>
      <c r="N706" s="114"/>
      <c r="O706" s="114"/>
    </row>
    <row r="707" spans="1:15" s="103" customFormat="1" x14ac:dyDescent="0.25">
      <c r="A707" s="255" t="s">
        <v>60</v>
      </c>
      <c r="B707" s="132" t="s">
        <v>7</v>
      </c>
      <c r="C707" s="331" t="s">
        <v>29</v>
      </c>
      <c r="D707" s="116" t="s">
        <v>650</v>
      </c>
      <c r="E707" s="205">
        <v>610</v>
      </c>
      <c r="F707" s="575">
        <f>'ведом. 2025-2027'!AD785</f>
        <v>38123</v>
      </c>
      <c r="G707" s="441">
        <f>F707</f>
        <v>38123</v>
      </c>
      <c r="H707" s="460">
        <f>'ведом. 2025-2027'!AE785</f>
        <v>38123</v>
      </c>
      <c r="I707" s="583">
        <f>H707</f>
        <v>38123</v>
      </c>
      <c r="J707" s="575">
        <f>'ведом. 2025-2027'!AF785</f>
        <v>38123</v>
      </c>
      <c r="K707" s="441">
        <f>J707</f>
        <v>38123</v>
      </c>
      <c r="L707" s="114"/>
      <c r="N707" s="114"/>
      <c r="O707" s="114"/>
    </row>
    <row r="708" spans="1:15" s="103" customFormat="1" ht="31.5" x14ac:dyDescent="0.25">
      <c r="A708" s="196" t="s">
        <v>296</v>
      </c>
      <c r="B708" s="132" t="s">
        <v>7</v>
      </c>
      <c r="C708" s="331" t="s">
        <v>29</v>
      </c>
      <c r="D708" s="116" t="s">
        <v>130</v>
      </c>
      <c r="E708" s="205"/>
      <c r="F708" s="575">
        <f>F709</f>
        <v>6000</v>
      </c>
      <c r="G708" s="441">
        <f>G709</f>
        <v>2000</v>
      </c>
      <c r="H708" s="460"/>
      <c r="I708" s="583">
        <f>I709</f>
        <v>0</v>
      </c>
      <c r="J708" s="575"/>
      <c r="K708" s="441"/>
      <c r="L708" s="114"/>
      <c r="N708" s="114"/>
      <c r="O708" s="114"/>
    </row>
    <row r="709" spans="1:15" s="103" customFormat="1" x14ac:dyDescent="0.25">
      <c r="A709" s="255" t="s">
        <v>835</v>
      </c>
      <c r="B709" s="132" t="s">
        <v>7</v>
      </c>
      <c r="C709" s="331" t="s">
        <v>29</v>
      </c>
      <c r="D709" s="116" t="s">
        <v>836</v>
      </c>
      <c r="E709" s="205"/>
      <c r="F709" s="575">
        <f>F710</f>
        <v>6000</v>
      </c>
      <c r="G709" s="441">
        <f>G710</f>
        <v>2000</v>
      </c>
      <c r="H709" s="460"/>
      <c r="I709" s="583">
        <f>I710</f>
        <v>0</v>
      </c>
      <c r="J709" s="575"/>
      <c r="K709" s="441"/>
      <c r="L709" s="114"/>
      <c r="N709" s="114"/>
      <c r="O709" s="114"/>
    </row>
    <row r="710" spans="1:15" s="103" customFormat="1" x14ac:dyDescent="0.25">
      <c r="A710" s="255" t="s">
        <v>838</v>
      </c>
      <c r="B710" s="132" t="s">
        <v>7</v>
      </c>
      <c r="C710" s="331" t="s">
        <v>29</v>
      </c>
      <c r="D710" s="116" t="s">
        <v>837</v>
      </c>
      <c r="E710" s="205"/>
      <c r="F710" s="575">
        <f>F712</f>
        <v>6000</v>
      </c>
      <c r="G710" s="441">
        <f>G712</f>
        <v>2000</v>
      </c>
      <c r="H710" s="460"/>
      <c r="I710" s="583">
        <f>I712</f>
        <v>0</v>
      </c>
      <c r="J710" s="575"/>
      <c r="K710" s="441"/>
      <c r="L710" s="114"/>
      <c r="N710" s="114"/>
      <c r="O710" s="114"/>
    </row>
    <row r="711" spans="1:15" s="103" customFormat="1" ht="37.5" customHeight="1" x14ac:dyDescent="0.25">
      <c r="A711" s="255" t="s">
        <v>841</v>
      </c>
      <c r="B711" s="132" t="s">
        <v>7</v>
      </c>
      <c r="C711" s="331" t="s">
        <v>29</v>
      </c>
      <c r="D711" s="116" t="s">
        <v>842</v>
      </c>
      <c r="E711" s="205"/>
      <c r="F711" s="575">
        <f t="shared" ref="F711:G713" si="146">F712</f>
        <v>6000</v>
      </c>
      <c r="G711" s="441">
        <f t="shared" si="146"/>
        <v>2000</v>
      </c>
      <c r="H711" s="460"/>
      <c r="I711" s="583">
        <f>I712</f>
        <v>0</v>
      </c>
      <c r="J711" s="575"/>
      <c r="K711" s="441"/>
      <c r="L711" s="114"/>
      <c r="N711" s="114"/>
      <c r="O711" s="114"/>
    </row>
    <row r="712" spans="1:15" s="103" customFormat="1" ht="63" x14ac:dyDescent="0.25">
      <c r="A712" s="255" t="s">
        <v>839</v>
      </c>
      <c r="B712" s="132" t="s">
        <v>7</v>
      </c>
      <c r="C712" s="331" t="s">
        <v>29</v>
      </c>
      <c r="D712" s="116" t="s">
        <v>840</v>
      </c>
      <c r="E712" s="205"/>
      <c r="F712" s="575">
        <f t="shared" si="146"/>
        <v>6000</v>
      </c>
      <c r="G712" s="441">
        <f t="shared" si="146"/>
        <v>2000</v>
      </c>
      <c r="H712" s="460"/>
      <c r="I712" s="583">
        <f>I713</f>
        <v>0</v>
      </c>
      <c r="J712" s="575"/>
      <c r="K712" s="441"/>
      <c r="L712" s="114"/>
      <c r="N712" s="114"/>
      <c r="O712" s="114"/>
    </row>
    <row r="713" spans="1:15" s="103" customFormat="1" ht="31.5" x14ac:dyDescent="0.25">
      <c r="A713" s="255" t="s">
        <v>59</v>
      </c>
      <c r="B713" s="132" t="s">
        <v>7</v>
      </c>
      <c r="C713" s="331" t="s">
        <v>29</v>
      </c>
      <c r="D713" s="116" t="s">
        <v>840</v>
      </c>
      <c r="E713" s="205">
        <v>600</v>
      </c>
      <c r="F713" s="575">
        <f t="shared" si="146"/>
        <v>6000</v>
      </c>
      <c r="G713" s="441">
        <f t="shared" si="146"/>
        <v>2000</v>
      </c>
      <c r="H713" s="460"/>
      <c r="I713" s="583">
        <f>I714</f>
        <v>0</v>
      </c>
      <c r="J713" s="575"/>
      <c r="K713" s="441"/>
      <c r="L713" s="114"/>
      <c r="N713" s="114"/>
      <c r="O713" s="114"/>
    </row>
    <row r="714" spans="1:15" s="103" customFormat="1" x14ac:dyDescent="0.25">
      <c r="A714" s="255" t="s">
        <v>60</v>
      </c>
      <c r="B714" s="132" t="s">
        <v>7</v>
      </c>
      <c r="C714" s="331" t="s">
        <v>29</v>
      </c>
      <c r="D714" s="116" t="s">
        <v>840</v>
      </c>
      <c r="E714" s="205">
        <v>610</v>
      </c>
      <c r="F714" s="575">
        <f>'ведом. 2025-2027'!AD792</f>
        <v>6000</v>
      </c>
      <c r="G714" s="441">
        <v>2000</v>
      </c>
      <c r="H714" s="460"/>
      <c r="I714" s="583"/>
      <c r="J714" s="575"/>
      <c r="K714" s="441"/>
      <c r="L714" s="114"/>
      <c r="N714" s="114"/>
      <c r="O714" s="114"/>
    </row>
    <row r="715" spans="1:15" s="103" customFormat="1" x14ac:dyDescent="0.25">
      <c r="A715" s="252" t="s">
        <v>132</v>
      </c>
      <c r="B715" s="136" t="s">
        <v>7</v>
      </c>
      <c r="C715" s="331" t="s">
        <v>6</v>
      </c>
      <c r="D715" s="21"/>
      <c r="E715" s="334"/>
      <c r="F715" s="575">
        <f t="shared" ref="F715:K715" si="147">F733+F716</f>
        <v>159793.29999999999</v>
      </c>
      <c r="G715" s="441">
        <f t="shared" si="147"/>
        <v>16824.400000000001</v>
      </c>
      <c r="H715" s="460">
        <f t="shared" si="147"/>
        <v>119938.2</v>
      </c>
      <c r="I715" s="583">
        <f t="shared" si="147"/>
        <v>5026</v>
      </c>
      <c r="J715" s="575">
        <f t="shared" si="147"/>
        <v>122324.3</v>
      </c>
      <c r="K715" s="441">
        <f t="shared" si="147"/>
        <v>5026</v>
      </c>
      <c r="L715" s="114"/>
      <c r="N715" s="114"/>
      <c r="O715" s="114"/>
    </row>
    <row r="716" spans="1:15" s="103" customFormat="1" x14ac:dyDescent="0.25">
      <c r="A716" s="182" t="s">
        <v>562</v>
      </c>
      <c r="B716" s="136" t="s">
        <v>7</v>
      </c>
      <c r="C716" s="331" t="s">
        <v>6</v>
      </c>
      <c r="D716" s="116" t="s">
        <v>112</v>
      </c>
      <c r="E716" s="557"/>
      <c r="F716" s="575">
        <f>F717</f>
        <v>80893.600000000006</v>
      </c>
      <c r="G716" s="441">
        <f>G717</f>
        <v>7468.4</v>
      </c>
      <c r="H716" s="460">
        <f>H717</f>
        <v>43856</v>
      </c>
      <c r="I716" s="583"/>
      <c r="J716" s="575">
        <f>J717</f>
        <v>43856</v>
      </c>
      <c r="K716" s="441"/>
      <c r="L716" s="114"/>
      <c r="N716" s="114"/>
      <c r="O716" s="114"/>
    </row>
    <row r="717" spans="1:15" s="103" customFormat="1" x14ac:dyDescent="0.25">
      <c r="A717" s="255" t="s">
        <v>492</v>
      </c>
      <c r="B717" s="136" t="s">
        <v>7</v>
      </c>
      <c r="C717" s="331" t="s">
        <v>6</v>
      </c>
      <c r="D717" s="116" t="s">
        <v>376</v>
      </c>
      <c r="E717" s="205"/>
      <c r="F717" s="575">
        <f>F718+F729+F722</f>
        <v>80893.600000000006</v>
      </c>
      <c r="G717" s="441">
        <f>G718+G729+G722</f>
        <v>7468.4</v>
      </c>
      <c r="H717" s="460">
        <f>H718+H729+H722</f>
        <v>43856</v>
      </c>
      <c r="I717" s="583"/>
      <c r="J717" s="575">
        <f>J718+J729+J722</f>
        <v>43856</v>
      </c>
      <c r="K717" s="441"/>
      <c r="L717" s="114"/>
      <c r="N717" s="114"/>
      <c r="O717" s="114"/>
    </row>
    <row r="718" spans="1:15" s="103" customFormat="1" ht="39" customHeight="1" x14ac:dyDescent="0.25">
      <c r="A718" s="255" t="s">
        <v>418</v>
      </c>
      <c r="B718" s="132" t="s">
        <v>7</v>
      </c>
      <c r="C718" s="331" t="s">
        <v>6</v>
      </c>
      <c r="D718" s="116" t="s">
        <v>377</v>
      </c>
      <c r="E718" s="205"/>
      <c r="F718" s="575">
        <f>F719</f>
        <v>72348.100000000006</v>
      </c>
      <c r="G718" s="441"/>
      <c r="H718" s="460">
        <f>H719</f>
        <v>43856</v>
      </c>
      <c r="I718" s="583"/>
      <c r="J718" s="575">
        <f>J719</f>
        <v>43856</v>
      </c>
      <c r="K718" s="441"/>
      <c r="L718" s="114"/>
      <c r="N718" s="114"/>
      <c r="O718" s="114"/>
    </row>
    <row r="719" spans="1:15" s="103" customFormat="1" ht="31.5" x14ac:dyDescent="0.25">
      <c r="A719" s="252" t="s">
        <v>375</v>
      </c>
      <c r="B719" s="132" t="s">
        <v>7</v>
      </c>
      <c r="C719" s="331" t="s">
        <v>6</v>
      </c>
      <c r="D719" s="116" t="s">
        <v>378</v>
      </c>
      <c r="E719" s="205"/>
      <c r="F719" s="575">
        <f>F720</f>
        <v>72348.100000000006</v>
      </c>
      <c r="G719" s="441"/>
      <c r="H719" s="460">
        <f>H720</f>
        <v>43856</v>
      </c>
      <c r="I719" s="583"/>
      <c r="J719" s="575">
        <f>J720</f>
        <v>43856</v>
      </c>
      <c r="K719" s="441"/>
      <c r="L719" s="114"/>
      <c r="N719" s="114"/>
      <c r="O719" s="114"/>
    </row>
    <row r="720" spans="1:15" s="103" customFormat="1" ht="31.5" x14ac:dyDescent="0.25">
      <c r="A720" s="255" t="s">
        <v>59</v>
      </c>
      <c r="B720" s="132" t="s">
        <v>7</v>
      </c>
      <c r="C720" s="331" t="s">
        <v>6</v>
      </c>
      <c r="D720" s="116" t="s">
        <v>378</v>
      </c>
      <c r="E720" s="205">
        <v>600</v>
      </c>
      <c r="F720" s="575">
        <f>F721</f>
        <v>72348.100000000006</v>
      </c>
      <c r="G720" s="441"/>
      <c r="H720" s="460">
        <f>H721</f>
        <v>43856</v>
      </c>
      <c r="I720" s="583"/>
      <c r="J720" s="575">
        <f>J721</f>
        <v>43856</v>
      </c>
      <c r="K720" s="441"/>
      <c r="L720" s="114"/>
      <c r="N720" s="114"/>
      <c r="O720" s="114"/>
    </row>
    <row r="721" spans="1:15" s="103" customFormat="1" x14ac:dyDescent="0.25">
      <c r="A721" s="255" t="s">
        <v>60</v>
      </c>
      <c r="B721" s="132" t="s">
        <v>7</v>
      </c>
      <c r="C721" s="331" t="s">
        <v>6</v>
      </c>
      <c r="D721" s="116" t="s">
        <v>378</v>
      </c>
      <c r="E721" s="205">
        <v>610</v>
      </c>
      <c r="F721" s="575">
        <f>'ведом. 2025-2027'!AD369</f>
        <v>72348.100000000006</v>
      </c>
      <c r="G721" s="441"/>
      <c r="H721" s="460">
        <f>'ведом. 2025-2027'!AE369</f>
        <v>43856</v>
      </c>
      <c r="I721" s="583"/>
      <c r="J721" s="575">
        <f>'ведом. 2025-2027'!AF369</f>
        <v>43856</v>
      </c>
      <c r="K721" s="441"/>
      <c r="L721" s="114"/>
      <c r="N721" s="114"/>
      <c r="O721" s="114"/>
    </row>
    <row r="722" spans="1:15" s="103" customFormat="1" ht="31.5" x14ac:dyDescent="0.25">
      <c r="A722" s="294" t="s">
        <v>722</v>
      </c>
      <c r="B722" s="509" t="s">
        <v>7</v>
      </c>
      <c r="C722" s="297" t="s">
        <v>6</v>
      </c>
      <c r="D722" s="409" t="s">
        <v>723</v>
      </c>
      <c r="E722" s="551"/>
      <c r="F722" s="575">
        <f>F726+F723</f>
        <v>2528.4</v>
      </c>
      <c r="G722" s="441">
        <f>G726+G723</f>
        <v>2528.4</v>
      </c>
      <c r="H722" s="460">
        <f>H726+H723</f>
        <v>0</v>
      </c>
      <c r="I722" s="583"/>
      <c r="J722" s="575">
        <f>J726+J723</f>
        <v>0</v>
      </c>
      <c r="K722" s="441"/>
      <c r="L722" s="114"/>
      <c r="N722" s="114"/>
      <c r="O722" s="114"/>
    </row>
    <row r="723" spans="1:15" s="103" customFormat="1" ht="63" x14ac:dyDescent="0.25">
      <c r="A723" s="294" t="s">
        <v>843</v>
      </c>
      <c r="B723" s="509" t="s">
        <v>7</v>
      </c>
      <c r="C723" s="297" t="s">
        <v>6</v>
      </c>
      <c r="D723" s="409" t="s">
        <v>844</v>
      </c>
      <c r="E723" s="551"/>
      <c r="F723" s="575">
        <f t="shared" ref="F723:H724" si="148">F724</f>
        <v>28.6</v>
      </c>
      <c r="G723" s="441">
        <f t="shared" si="148"/>
        <v>28.6</v>
      </c>
      <c r="H723" s="460">
        <f t="shared" si="148"/>
        <v>0</v>
      </c>
      <c r="I723" s="583"/>
      <c r="J723" s="575">
        <f>J724</f>
        <v>0</v>
      </c>
      <c r="K723" s="441"/>
      <c r="L723" s="114"/>
      <c r="N723" s="114"/>
      <c r="O723" s="114"/>
    </row>
    <row r="724" spans="1:15" s="103" customFormat="1" ht="31.5" x14ac:dyDescent="0.25">
      <c r="A724" s="294" t="s">
        <v>59</v>
      </c>
      <c r="B724" s="509" t="s">
        <v>7</v>
      </c>
      <c r="C724" s="297" t="s">
        <v>6</v>
      </c>
      <c r="D724" s="409" t="s">
        <v>844</v>
      </c>
      <c r="E724" s="551">
        <v>600</v>
      </c>
      <c r="F724" s="575">
        <f t="shared" si="148"/>
        <v>28.6</v>
      </c>
      <c r="G724" s="441">
        <f t="shared" si="148"/>
        <v>28.6</v>
      </c>
      <c r="H724" s="460">
        <f t="shared" si="148"/>
        <v>0</v>
      </c>
      <c r="I724" s="583"/>
      <c r="J724" s="575">
        <f>J725</f>
        <v>0</v>
      </c>
      <c r="K724" s="441"/>
      <c r="L724" s="114"/>
      <c r="N724" s="114"/>
      <c r="O724" s="114"/>
    </row>
    <row r="725" spans="1:15" s="103" customFormat="1" x14ac:dyDescent="0.25">
      <c r="A725" s="294" t="s">
        <v>60</v>
      </c>
      <c r="B725" s="509" t="s">
        <v>7</v>
      </c>
      <c r="C725" s="297" t="s">
        <v>6</v>
      </c>
      <c r="D725" s="409" t="s">
        <v>844</v>
      </c>
      <c r="E725" s="551">
        <v>610</v>
      </c>
      <c r="F725" s="575">
        <f>'ведом. 2025-2027'!AD373</f>
        <v>28.6</v>
      </c>
      <c r="G725" s="441">
        <f>F725</f>
        <v>28.6</v>
      </c>
      <c r="H725" s="460">
        <f>'ведом. 2025-2027'!AE373</f>
        <v>0</v>
      </c>
      <c r="I725" s="583"/>
      <c r="J725" s="575">
        <f>'ведом. 2025-2027'!AF373</f>
        <v>0</v>
      </c>
      <c r="K725" s="441"/>
      <c r="L725" s="114"/>
      <c r="N725" s="114"/>
      <c r="O725" s="114"/>
    </row>
    <row r="726" spans="1:15" s="103" customFormat="1" ht="37.5" customHeight="1" x14ac:dyDescent="0.25">
      <c r="A726" s="294" t="s">
        <v>754</v>
      </c>
      <c r="B726" s="509" t="s">
        <v>7</v>
      </c>
      <c r="C726" s="297" t="s">
        <v>6</v>
      </c>
      <c r="D726" s="409" t="s">
        <v>724</v>
      </c>
      <c r="E726" s="551"/>
      <c r="F726" s="575">
        <f t="shared" ref="F726:H727" si="149">F727</f>
        <v>2499.8000000000002</v>
      </c>
      <c r="G726" s="441">
        <f t="shared" si="149"/>
        <v>2499.8000000000002</v>
      </c>
      <c r="H726" s="460">
        <f t="shared" si="149"/>
        <v>0</v>
      </c>
      <c r="I726" s="583"/>
      <c r="J726" s="575">
        <f>J727</f>
        <v>0</v>
      </c>
      <c r="K726" s="441"/>
      <c r="L726" s="114"/>
      <c r="N726" s="114"/>
      <c r="O726" s="114"/>
    </row>
    <row r="727" spans="1:15" s="103" customFormat="1" ht="31.5" x14ac:dyDescent="0.25">
      <c r="A727" s="294" t="s">
        <v>59</v>
      </c>
      <c r="B727" s="509" t="s">
        <v>7</v>
      </c>
      <c r="C727" s="297" t="s">
        <v>6</v>
      </c>
      <c r="D727" s="409" t="s">
        <v>724</v>
      </c>
      <c r="E727" s="551">
        <v>600</v>
      </c>
      <c r="F727" s="575">
        <f t="shared" si="149"/>
        <v>2499.8000000000002</v>
      </c>
      <c r="G727" s="441">
        <f t="shared" si="149"/>
        <v>2499.8000000000002</v>
      </c>
      <c r="H727" s="460">
        <f t="shared" si="149"/>
        <v>0</v>
      </c>
      <c r="I727" s="583"/>
      <c r="J727" s="575">
        <f>J728</f>
        <v>0</v>
      </c>
      <c r="K727" s="441"/>
      <c r="L727" s="114"/>
      <c r="N727" s="114"/>
      <c r="O727" s="114"/>
    </row>
    <row r="728" spans="1:15" s="103" customFormat="1" x14ac:dyDescent="0.25">
      <c r="A728" s="294" t="s">
        <v>60</v>
      </c>
      <c r="B728" s="509" t="s">
        <v>7</v>
      </c>
      <c r="C728" s="297" t="s">
        <v>6</v>
      </c>
      <c r="D728" s="409" t="s">
        <v>724</v>
      </c>
      <c r="E728" s="551">
        <v>610</v>
      </c>
      <c r="F728" s="575">
        <f>'ведом. 2025-2027'!AD376</f>
        <v>2499.8000000000002</v>
      </c>
      <c r="G728" s="441">
        <f>F728</f>
        <v>2499.8000000000002</v>
      </c>
      <c r="H728" s="460">
        <f>'ведом. 2025-2027'!AE376</f>
        <v>0</v>
      </c>
      <c r="I728" s="583"/>
      <c r="J728" s="575">
        <f>'ведом. 2025-2027'!AF376</f>
        <v>0</v>
      </c>
      <c r="K728" s="441"/>
      <c r="L728" s="114"/>
      <c r="N728" s="114"/>
      <c r="O728" s="114"/>
    </row>
    <row r="729" spans="1:15" s="103" customFormat="1" x14ac:dyDescent="0.25">
      <c r="A729" s="294" t="s">
        <v>718</v>
      </c>
      <c r="B729" s="509" t="s">
        <v>7</v>
      </c>
      <c r="C729" s="297" t="s">
        <v>6</v>
      </c>
      <c r="D729" s="409" t="s">
        <v>721</v>
      </c>
      <c r="E729" s="551"/>
      <c r="F729" s="575">
        <f>F730</f>
        <v>6017.1</v>
      </c>
      <c r="G729" s="441">
        <f t="shared" ref="G729:J731" si="150">G730</f>
        <v>4940</v>
      </c>
      <c r="H729" s="460">
        <f t="shared" si="150"/>
        <v>0</v>
      </c>
      <c r="I729" s="583"/>
      <c r="J729" s="575">
        <f t="shared" si="150"/>
        <v>0</v>
      </c>
      <c r="K729" s="441"/>
      <c r="L729" s="114"/>
      <c r="N729" s="114"/>
      <c r="O729" s="114"/>
    </row>
    <row r="730" spans="1:15" s="103" customFormat="1" ht="47.25" x14ac:dyDescent="0.25">
      <c r="A730" s="294" t="s">
        <v>719</v>
      </c>
      <c r="B730" s="509" t="s">
        <v>7</v>
      </c>
      <c r="C730" s="297" t="s">
        <v>6</v>
      </c>
      <c r="D730" s="409" t="s">
        <v>720</v>
      </c>
      <c r="E730" s="551"/>
      <c r="F730" s="575">
        <f>F731</f>
        <v>6017.1</v>
      </c>
      <c r="G730" s="441">
        <f t="shared" si="150"/>
        <v>4940</v>
      </c>
      <c r="H730" s="460">
        <f t="shared" si="150"/>
        <v>0</v>
      </c>
      <c r="I730" s="583"/>
      <c r="J730" s="575">
        <f t="shared" si="150"/>
        <v>0</v>
      </c>
      <c r="K730" s="441"/>
      <c r="L730" s="114"/>
      <c r="N730" s="114"/>
      <c r="O730" s="114"/>
    </row>
    <row r="731" spans="1:15" s="103" customFormat="1" ht="31.5" x14ac:dyDescent="0.25">
      <c r="A731" s="294" t="s">
        <v>59</v>
      </c>
      <c r="B731" s="509" t="s">
        <v>7</v>
      </c>
      <c r="C731" s="297" t="s">
        <v>6</v>
      </c>
      <c r="D731" s="409" t="s">
        <v>720</v>
      </c>
      <c r="E731" s="551">
        <v>600</v>
      </c>
      <c r="F731" s="575">
        <f>F732</f>
        <v>6017.1</v>
      </c>
      <c r="G731" s="441">
        <f t="shared" si="150"/>
        <v>4940</v>
      </c>
      <c r="H731" s="460">
        <f t="shared" si="150"/>
        <v>0</v>
      </c>
      <c r="I731" s="583"/>
      <c r="J731" s="575">
        <f t="shared" si="150"/>
        <v>0</v>
      </c>
      <c r="K731" s="441"/>
      <c r="L731" s="114"/>
      <c r="N731" s="114"/>
      <c r="O731" s="114"/>
    </row>
    <row r="732" spans="1:15" s="103" customFormat="1" x14ac:dyDescent="0.25">
      <c r="A732" s="294" t="s">
        <v>60</v>
      </c>
      <c r="B732" s="509" t="s">
        <v>7</v>
      </c>
      <c r="C732" s="297" t="s">
        <v>6</v>
      </c>
      <c r="D732" s="409" t="s">
        <v>720</v>
      </c>
      <c r="E732" s="551">
        <v>610</v>
      </c>
      <c r="F732" s="575">
        <f>'ведом. 2025-2027'!AD380</f>
        <v>6017.1</v>
      </c>
      <c r="G732" s="441">
        <v>4940</v>
      </c>
      <c r="H732" s="460">
        <f>'ведом. 2025-2027'!AE380</f>
        <v>0</v>
      </c>
      <c r="I732" s="583"/>
      <c r="J732" s="575">
        <f>'ведом. 2025-2027'!AF380</f>
        <v>0</v>
      </c>
      <c r="K732" s="441"/>
      <c r="L732" s="114"/>
      <c r="N732" s="114"/>
      <c r="O732" s="114"/>
    </row>
    <row r="733" spans="1:15" s="103" customFormat="1" x14ac:dyDescent="0.25">
      <c r="A733" s="182" t="s">
        <v>260</v>
      </c>
      <c r="B733" s="136" t="s">
        <v>7</v>
      </c>
      <c r="C733" s="331" t="s">
        <v>6</v>
      </c>
      <c r="D733" s="21" t="s">
        <v>98</v>
      </c>
      <c r="E733" s="334"/>
      <c r="F733" s="575">
        <f t="shared" ref="F733:K733" si="151">F742+F734</f>
        <v>78899.7</v>
      </c>
      <c r="G733" s="441">
        <f t="shared" si="151"/>
        <v>9356</v>
      </c>
      <c r="H733" s="460">
        <f t="shared" si="151"/>
        <v>76082.2</v>
      </c>
      <c r="I733" s="583">
        <f t="shared" si="151"/>
        <v>5026</v>
      </c>
      <c r="J733" s="575">
        <f t="shared" si="151"/>
        <v>78468.3</v>
      </c>
      <c r="K733" s="441">
        <f t="shared" si="151"/>
        <v>5026</v>
      </c>
      <c r="L733" s="114"/>
      <c r="N733" s="114"/>
      <c r="O733" s="114"/>
    </row>
    <row r="734" spans="1:15" s="103" customFormat="1" x14ac:dyDescent="0.25">
      <c r="A734" s="182" t="s">
        <v>263</v>
      </c>
      <c r="B734" s="132" t="s">
        <v>7</v>
      </c>
      <c r="C734" s="331" t="s">
        <v>6</v>
      </c>
      <c r="D734" s="116" t="s">
        <v>115</v>
      </c>
      <c r="E734" s="334"/>
      <c r="F734" s="575">
        <f t="shared" ref="F734:K737" si="152">F735</f>
        <v>5457</v>
      </c>
      <c r="G734" s="441">
        <f t="shared" si="152"/>
        <v>5457</v>
      </c>
      <c r="H734" s="460">
        <f t="shared" si="152"/>
        <v>5026</v>
      </c>
      <c r="I734" s="583">
        <f t="shared" si="152"/>
        <v>5026</v>
      </c>
      <c r="J734" s="575">
        <f t="shared" si="152"/>
        <v>5026</v>
      </c>
      <c r="K734" s="441">
        <f t="shared" si="152"/>
        <v>5026</v>
      </c>
      <c r="L734" s="114"/>
      <c r="N734" s="114"/>
      <c r="O734" s="114"/>
    </row>
    <row r="735" spans="1:15" s="103" customFormat="1" ht="31.5" x14ac:dyDescent="0.25">
      <c r="A735" s="196" t="s">
        <v>264</v>
      </c>
      <c r="B735" s="132" t="s">
        <v>7</v>
      </c>
      <c r="C735" s="331" t="s">
        <v>6</v>
      </c>
      <c r="D735" s="116" t="s">
        <v>442</v>
      </c>
      <c r="E735" s="334"/>
      <c r="F735" s="575">
        <f t="shared" ref="F735:K735" si="153">F736+F739</f>
        <v>5457</v>
      </c>
      <c r="G735" s="441">
        <f t="shared" si="153"/>
        <v>5457</v>
      </c>
      <c r="H735" s="460">
        <f t="shared" si="153"/>
        <v>5026</v>
      </c>
      <c r="I735" s="583">
        <f t="shared" si="153"/>
        <v>5026</v>
      </c>
      <c r="J735" s="575">
        <f t="shared" si="153"/>
        <v>5026</v>
      </c>
      <c r="K735" s="441">
        <f t="shared" si="153"/>
        <v>5026</v>
      </c>
      <c r="L735" s="114"/>
      <c r="N735" s="114"/>
      <c r="O735" s="114"/>
    </row>
    <row r="736" spans="1:15" s="103" customFormat="1" ht="141.75" x14ac:dyDescent="0.25">
      <c r="A736" s="183" t="s">
        <v>395</v>
      </c>
      <c r="B736" s="133" t="s">
        <v>7</v>
      </c>
      <c r="C736" s="128" t="s">
        <v>6</v>
      </c>
      <c r="D736" s="116" t="s">
        <v>466</v>
      </c>
      <c r="E736" s="334"/>
      <c r="F736" s="575">
        <f t="shared" si="152"/>
        <v>5249</v>
      </c>
      <c r="G736" s="441">
        <f t="shared" si="152"/>
        <v>5249</v>
      </c>
      <c r="H736" s="460">
        <f t="shared" si="152"/>
        <v>5026</v>
      </c>
      <c r="I736" s="583">
        <f t="shared" si="152"/>
        <v>5026</v>
      </c>
      <c r="J736" s="575">
        <f t="shared" si="152"/>
        <v>5026</v>
      </c>
      <c r="K736" s="441">
        <f t="shared" si="152"/>
        <v>5026</v>
      </c>
      <c r="L736" s="114"/>
      <c r="N736" s="114"/>
      <c r="O736" s="114"/>
    </row>
    <row r="737" spans="1:15" s="103" customFormat="1" ht="31.5" x14ac:dyDescent="0.25">
      <c r="A737" s="255" t="s">
        <v>59</v>
      </c>
      <c r="B737" s="132" t="s">
        <v>7</v>
      </c>
      <c r="C737" s="331" t="s">
        <v>6</v>
      </c>
      <c r="D737" s="116" t="s">
        <v>466</v>
      </c>
      <c r="E737" s="334">
        <v>600</v>
      </c>
      <c r="F737" s="575">
        <f t="shared" si="152"/>
        <v>5249</v>
      </c>
      <c r="G737" s="441">
        <f t="shared" si="152"/>
        <v>5249</v>
      </c>
      <c r="H737" s="460">
        <f t="shared" si="152"/>
        <v>5026</v>
      </c>
      <c r="I737" s="583">
        <f t="shared" si="152"/>
        <v>5026</v>
      </c>
      <c r="J737" s="575">
        <f t="shared" si="152"/>
        <v>5026</v>
      </c>
      <c r="K737" s="441">
        <f t="shared" si="152"/>
        <v>5026</v>
      </c>
      <c r="L737" s="114"/>
      <c r="N737" s="114"/>
      <c r="O737" s="114"/>
    </row>
    <row r="738" spans="1:15" s="103" customFormat="1" x14ac:dyDescent="0.25">
      <c r="A738" s="255" t="s">
        <v>60</v>
      </c>
      <c r="B738" s="132" t="s">
        <v>7</v>
      </c>
      <c r="C738" s="331" t="s">
        <v>6</v>
      </c>
      <c r="D738" s="116" t="s">
        <v>466</v>
      </c>
      <c r="E738" s="334">
        <v>610</v>
      </c>
      <c r="F738" s="575">
        <f>'ведом. 2025-2027'!AD799</f>
        <v>5249</v>
      </c>
      <c r="G738" s="441">
        <f>F738</f>
        <v>5249</v>
      </c>
      <c r="H738" s="460">
        <f>'ведом. 2025-2027'!AE799</f>
        <v>5026</v>
      </c>
      <c r="I738" s="583">
        <f>H738</f>
        <v>5026</v>
      </c>
      <c r="J738" s="575">
        <f>'ведом. 2025-2027'!AF799</f>
        <v>5026</v>
      </c>
      <c r="K738" s="441">
        <f>J738</f>
        <v>5026</v>
      </c>
      <c r="L738" s="114"/>
      <c r="N738" s="114"/>
      <c r="O738" s="114"/>
    </row>
    <row r="739" spans="1:15" s="103" customFormat="1" ht="47.25" x14ac:dyDescent="0.25">
      <c r="A739" s="294" t="s">
        <v>762</v>
      </c>
      <c r="B739" s="509" t="s">
        <v>7</v>
      </c>
      <c r="C739" s="297" t="s">
        <v>6</v>
      </c>
      <c r="D739" s="412" t="s">
        <v>651</v>
      </c>
      <c r="E739" s="552"/>
      <c r="F739" s="575">
        <f>F740</f>
        <v>208</v>
      </c>
      <c r="G739" s="441">
        <f t="shared" ref="G739:J740" si="154">G740</f>
        <v>208</v>
      </c>
      <c r="H739" s="460">
        <f t="shared" si="154"/>
        <v>0</v>
      </c>
      <c r="I739" s="583"/>
      <c r="J739" s="575">
        <f t="shared" si="154"/>
        <v>0</v>
      </c>
      <c r="K739" s="441"/>
      <c r="L739" s="114"/>
      <c r="N739" s="114"/>
      <c r="O739" s="114"/>
    </row>
    <row r="740" spans="1:15" s="103" customFormat="1" ht="31.5" x14ac:dyDescent="0.25">
      <c r="A740" s="294" t="s">
        <v>59</v>
      </c>
      <c r="B740" s="509" t="s">
        <v>7</v>
      </c>
      <c r="C740" s="297" t="s">
        <v>6</v>
      </c>
      <c r="D740" s="412" t="s">
        <v>651</v>
      </c>
      <c r="E740" s="552">
        <v>600</v>
      </c>
      <c r="F740" s="575">
        <f>F741</f>
        <v>208</v>
      </c>
      <c r="G740" s="441">
        <f t="shared" si="154"/>
        <v>208</v>
      </c>
      <c r="H740" s="460">
        <f t="shared" si="154"/>
        <v>0</v>
      </c>
      <c r="I740" s="583"/>
      <c r="J740" s="575">
        <f t="shared" si="154"/>
        <v>0</v>
      </c>
      <c r="K740" s="441"/>
      <c r="L740" s="114"/>
      <c r="N740" s="114"/>
      <c r="O740" s="114"/>
    </row>
    <row r="741" spans="1:15" s="103" customFormat="1" x14ac:dyDescent="0.25">
      <c r="A741" s="294" t="s">
        <v>60</v>
      </c>
      <c r="B741" s="509" t="s">
        <v>7</v>
      </c>
      <c r="C741" s="297" t="s">
        <v>6</v>
      </c>
      <c r="D741" s="412" t="s">
        <v>651</v>
      </c>
      <c r="E741" s="552">
        <v>610</v>
      </c>
      <c r="F741" s="575">
        <f>'ведом. 2025-2027'!AD802</f>
        <v>208</v>
      </c>
      <c r="G741" s="441">
        <f>F741</f>
        <v>208</v>
      </c>
      <c r="H741" s="460">
        <f>'ведом. 2025-2027'!AE802</f>
        <v>0</v>
      </c>
      <c r="I741" s="583"/>
      <c r="J741" s="575">
        <f>'ведом. 2025-2027'!AF802</f>
        <v>0</v>
      </c>
      <c r="K741" s="441"/>
      <c r="L741" s="114"/>
      <c r="N741" s="114"/>
      <c r="O741" s="114"/>
    </row>
    <row r="742" spans="1:15" s="103" customFormat="1" ht="31.5" x14ac:dyDescent="0.25">
      <c r="A742" s="182" t="s">
        <v>470</v>
      </c>
      <c r="B742" s="136" t="s">
        <v>7</v>
      </c>
      <c r="C742" s="331" t="s">
        <v>6</v>
      </c>
      <c r="D742" s="116" t="s">
        <v>99</v>
      </c>
      <c r="E742" s="222"/>
      <c r="F742" s="575">
        <f>F743+F754</f>
        <v>73442.7</v>
      </c>
      <c r="G742" s="441">
        <f>G743+G754</f>
        <v>3899</v>
      </c>
      <c r="H742" s="460">
        <f t="shared" ref="H742:J742" si="155">H743+H754</f>
        <v>71056.2</v>
      </c>
      <c r="I742" s="583"/>
      <c r="J742" s="575">
        <f t="shared" si="155"/>
        <v>73442.3</v>
      </c>
      <c r="K742" s="441"/>
      <c r="L742" s="114"/>
      <c r="N742" s="114"/>
      <c r="O742" s="114"/>
    </row>
    <row r="743" spans="1:15" s="103" customFormat="1" ht="31.5" x14ac:dyDescent="0.25">
      <c r="A743" s="182" t="s">
        <v>471</v>
      </c>
      <c r="B743" s="136" t="s">
        <v>7</v>
      </c>
      <c r="C743" s="331" t="s">
        <v>6</v>
      </c>
      <c r="D743" s="116" t="s">
        <v>472</v>
      </c>
      <c r="E743" s="222"/>
      <c r="F743" s="575">
        <f>F744+F751</f>
        <v>58252.899999999994</v>
      </c>
      <c r="G743" s="441">
        <f>G744+G751</f>
        <v>3899</v>
      </c>
      <c r="H743" s="460">
        <f>H744</f>
        <v>38974.5</v>
      </c>
      <c r="I743" s="583"/>
      <c r="J743" s="575">
        <f>J744</f>
        <v>39288.600000000006</v>
      </c>
      <c r="K743" s="441"/>
      <c r="L743" s="114"/>
      <c r="N743" s="114"/>
      <c r="O743" s="114"/>
    </row>
    <row r="744" spans="1:15" s="103" customFormat="1" ht="31.5" x14ac:dyDescent="0.25">
      <c r="A744" s="182" t="s">
        <v>266</v>
      </c>
      <c r="B744" s="136" t="s">
        <v>7</v>
      </c>
      <c r="C744" s="331" t="s">
        <v>6</v>
      </c>
      <c r="D744" s="116" t="s">
        <v>473</v>
      </c>
      <c r="E744" s="567"/>
      <c r="F744" s="575">
        <f>F745+F748</f>
        <v>54353.899999999994</v>
      </c>
      <c r="G744" s="441"/>
      <c r="H744" s="460">
        <f>H745+H748</f>
        <v>38974.5</v>
      </c>
      <c r="I744" s="583"/>
      <c r="J744" s="575">
        <f>J745+J748</f>
        <v>39288.600000000006</v>
      </c>
      <c r="K744" s="441"/>
      <c r="L744" s="114"/>
      <c r="N744" s="114"/>
      <c r="O744" s="114"/>
    </row>
    <row r="745" spans="1:15" s="103" customFormat="1" ht="31.5" x14ac:dyDescent="0.25">
      <c r="A745" s="252" t="s">
        <v>327</v>
      </c>
      <c r="B745" s="136" t="s">
        <v>7</v>
      </c>
      <c r="C745" s="331" t="s">
        <v>6</v>
      </c>
      <c r="D745" s="116" t="s">
        <v>474</v>
      </c>
      <c r="E745" s="568"/>
      <c r="F745" s="575">
        <f>F747</f>
        <v>54263.899999999994</v>
      </c>
      <c r="G745" s="441"/>
      <c r="H745" s="460">
        <f>H747</f>
        <v>38974.5</v>
      </c>
      <c r="I745" s="583"/>
      <c r="J745" s="575">
        <f>J747</f>
        <v>39288.600000000006</v>
      </c>
      <c r="K745" s="441"/>
      <c r="L745" s="114"/>
      <c r="N745" s="114"/>
      <c r="O745" s="114"/>
    </row>
    <row r="746" spans="1:15" s="103" customFormat="1" ht="31.5" x14ac:dyDescent="0.25">
      <c r="A746" s="252" t="s">
        <v>59</v>
      </c>
      <c r="B746" s="136" t="s">
        <v>7</v>
      </c>
      <c r="C746" s="331" t="s">
        <v>6</v>
      </c>
      <c r="D746" s="116" t="s">
        <v>474</v>
      </c>
      <c r="E746" s="334">
        <v>600</v>
      </c>
      <c r="F746" s="575">
        <f>F747</f>
        <v>54263.899999999994</v>
      </c>
      <c r="G746" s="441"/>
      <c r="H746" s="460">
        <f>H747</f>
        <v>38974.5</v>
      </c>
      <c r="I746" s="583"/>
      <c r="J746" s="575">
        <f>J747</f>
        <v>39288.600000000006</v>
      </c>
      <c r="K746" s="441"/>
      <c r="L746" s="114"/>
      <c r="N746" s="114"/>
      <c r="O746" s="114"/>
    </row>
    <row r="747" spans="1:15" s="103" customFormat="1" x14ac:dyDescent="0.25">
      <c r="A747" s="252" t="s">
        <v>60</v>
      </c>
      <c r="B747" s="136" t="s">
        <v>7</v>
      </c>
      <c r="C747" s="331" t="s">
        <v>6</v>
      </c>
      <c r="D747" s="116" t="s">
        <v>474</v>
      </c>
      <c r="E747" s="334">
        <v>610</v>
      </c>
      <c r="F747" s="575">
        <f>'ведом. 2025-2027'!AD808</f>
        <v>54263.899999999994</v>
      </c>
      <c r="G747" s="441"/>
      <c r="H747" s="460">
        <f>'ведом. 2025-2027'!AE808</f>
        <v>38974.5</v>
      </c>
      <c r="I747" s="583"/>
      <c r="J747" s="575">
        <f>'ведом. 2025-2027'!AF808</f>
        <v>39288.600000000006</v>
      </c>
      <c r="K747" s="441"/>
      <c r="L747" s="114"/>
      <c r="N747" s="114"/>
      <c r="O747" s="114"/>
    </row>
    <row r="748" spans="1:15" s="103" customFormat="1" ht="31.5" x14ac:dyDescent="0.25">
      <c r="A748" s="294" t="s">
        <v>845</v>
      </c>
      <c r="B748" s="537" t="s">
        <v>7</v>
      </c>
      <c r="C748" s="297" t="s">
        <v>6</v>
      </c>
      <c r="D748" s="409" t="s">
        <v>846</v>
      </c>
      <c r="E748" s="569"/>
      <c r="F748" s="575">
        <f>F749</f>
        <v>90</v>
      </c>
      <c r="G748" s="441"/>
      <c r="H748" s="460">
        <f t="shared" ref="H748:J749" si="156">H749</f>
        <v>0</v>
      </c>
      <c r="I748" s="583"/>
      <c r="J748" s="575">
        <f t="shared" si="156"/>
        <v>0</v>
      </c>
      <c r="K748" s="441"/>
      <c r="L748" s="114"/>
      <c r="N748" s="114"/>
      <c r="O748" s="114"/>
    </row>
    <row r="749" spans="1:15" s="103" customFormat="1" ht="31.5" x14ac:dyDescent="0.25">
      <c r="A749" s="294" t="s">
        <v>59</v>
      </c>
      <c r="B749" s="537" t="s">
        <v>7</v>
      </c>
      <c r="C749" s="297" t="s">
        <v>6</v>
      </c>
      <c r="D749" s="409" t="s">
        <v>846</v>
      </c>
      <c r="E749" s="552">
        <v>600</v>
      </c>
      <c r="F749" s="575">
        <f>F750</f>
        <v>90</v>
      </c>
      <c r="G749" s="441"/>
      <c r="H749" s="460">
        <f t="shared" si="156"/>
        <v>0</v>
      </c>
      <c r="I749" s="583"/>
      <c r="J749" s="575">
        <f t="shared" si="156"/>
        <v>0</v>
      </c>
      <c r="K749" s="441"/>
      <c r="L749" s="114"/>
      <c r="N749" s="114"/>
      <c r="O749" s="114"/>
    </row>
    <row r="750" spans="1:15" s="103" customFormat="1" x14ac:dyDescent="0.25">
      <c r="A750" s="294" t="s">
        <v>60</v>
      </c>
      <c r="B750" s="537" t="s">
        <v>7</v>
      </c>
      <c r="C750" s="297" t="s">
        <v>6</v>
      </c>
      <c r="D750" s="409" t="s">
        <v>846</v>
      </c>
      <c r="E750" s="552">
        <v>610</v>
      </c>
      <c r="F750" s="575">
        <f>'ведом. 2025-2027'!AD811</f>
        <v>90</v>
      </c>
      <c r="G750" s="441"/>
      <c r="H750" s="460">
        <f>'ведом. 2025-2027'!AE811</f>
        <v>0</v>
      </c>
      <c r="I750" s="583"/>
      <c r="J750" s="575">
        <f>'ведом. 2025-2027'!AF811</f>
        <v>0</v>
      </c>
      <c r="K750" s="441"/>
      <c r="L750" s="114"/>
      <c r="N750" s="114"/>
      <c r="O750" s="114"/>
    </row>
    <row r="751" spans="1:15" s="103" customFormat="1" ht="31.5" x14ac:dyDescent="0.25">
      <c r="A751" s="294" t="s">
        <v>893</v>
      </c>
      <c r="B751" s="537" t="s">
        <v>7</v>
      </c>
      <c r="C751" s="297" t="s">
        <v>6</v>
      </c>
      <c r="D751" s="409" t="s">
        <v>894</v>
      </c>
      <c r="E751" s="552"/>
      <c r="F751" s="575">
        <f>F752</f>
        <v>3899</v>
      </c>
      <c r="G751" s="441">
        <f>G752</f>
        <v>3899</v>
      </c>
      <c r="H751" s="460">
        <f t="shared" ref="H751:J752" si="157">H752</f>
        <v>0</v>
      </c>
      <c r="I751" s="583"/>
      <c r="J751" s="575">
        <f t="shared" si="157"/>
        <v>0</v>
      </c>
      <c r="K751" s="441"/>
      <c r="L751" s="114"/>
      <c r="N751" s="114"/>
      <c r="O751" s="114"/>
    </row>
    <row r="752" spans="1:15" s="103" customFormat="1" ht="31.5" x14ac:dyDescent="0.25">
      <c r="A752" s="294" t="s">
        <v>59</v>
      </c>
      <c r="B752" s="537" t="s">
        <v>7</v>
      </c>
      <c r="C752" s="297" t="s">
        <v>6</v>
      </c>
      <c r="D752" s="409" t="s">
        <v>894</v>
      </c>
      <c r="E752" s="552">
        <v>600</v>
      </c>
      <c r="F752" s="575">
        <f>F753</f>
        <v>3899</v>
      </c>
      <c r="G752" s="441">
        <f>G753</f>
        <v>3899</v>
      </c>
      <c r="H752" s="460">
        <f t="shared" si="157"/>
        <v>0</v>
      </c>
      <c r="I752" s="583"/>
      <c r="J752" s="575">
        <f t="shared" si="157"/>
        <v>0</v>
      </c>
      <c r="K752" s="441"/>
      <c r="L752" s="114"/>
      <c r="N752" s="114"/>
      <c r="O752" s="114"/>
    </row>
    <row r="753" spans="1:15" s="103" customFormat="1" x14ac:dyDescent="0.25">
      <c r="A753" s="294" t="s">
        <v>60</v>
      </c>
      <c r="B753" s="537" t="s">
        <v>7</v>
      </c>
      <c r="C753" s="297" t="s">
        <v>6</v>
      </c>
      <c r="D753" s="409" t="s">
        <v>894</v>
      </c>
      <c r="E753" s="552">
        <v>610</v>
      </c>
      <c r="F753" s="575">
        <f>'ведом. 2025-2027'!AD814</f>
        <v>3899</v>
      </c>
      <c r="G753" s="441">
        <v>3899</v>
      </c>
      <c r="H753" s="460">
        <f>'ведом. 2025-2027'!AE814</f>
        <v>0</v>
      </c>
      <c r="I753" s="583"/>
      <c r="J753" s="575">
        <f>'ведом. 2025-2027'!AF814</f>
        <v>0</v>
      </c>
      <c r="K753" s="441"/>
      <c r="L753" s="114"/>
      <c r="N753" s="114"/>
      <c r="O753" s="114"/>
    </row>
    <row r="754" spans="1:15" s="103" customFormat="1" ht="31.5" x14ac:dyDescent="0.25">
      <c r="A754" s="182" t="s">
        <v>475</v>
      </c>
      <c r="B754" s="136" t="s">
        <v>7</v>
      </c>
      <c r="C754" s="331" t="s">
        <v>6</v>
      </c>
      <c r="D754" s="116" t="s">
        <v>476</v>
      </c>
      <c r="E754" s="334"/>
      <c r="F754" s="575">
        <f>F755</f>
        <v>15189.8</v>
      </c>
      <c r="G754" s="441"/>
      <c r="H754" s="460">
        <f>H755</f>
        <v>32081.7</v>
      </c>
      <c r="I754" s="583"/>
      <c r="J754" s="575">
        <f>J755</f>
        <v>34153.699999999997</v>
      </c>
      <c r="K754" s="441"/>
      <c r="L754" s="114"/>
      <c r="N754" s="114"/>
      <c r="O754" s="114"/>
    </row>
    <row r="755" spans="1:15" s="103" customFormat="1" ht="31.5" x14ac:dyDescent="0.25">
      <c r="A755" s="183" t="s">
        <v>154</v>
      </c>
      <c r="B755" s="136" t="s">
        <v>7</v>
      </c>
      <c r="C755" s="331" t="s">
        <v>6</v>
      </c>
      <c r="D755" s="116" t="s">
        <v>477</v>
      </c>
      <c r="E755" s="334"/>
      <c r="F755" s="575">
        <f>F756</f>
        <v>15189.8</v>
      </c>
      <c r="G755" s="441"/>
      <c r="H755" s="460">
        <f>H756</f>
        <v>32081.7</v>
      </c>
      <c r="I755" s="583"/>
      <c r="J755" s="575">
        <f>J756</f>
        <v>34153.699999999997</v>
      </c>
      <c r="K755" s="441"/>
      <c r="L755" s="114"/>
      <c r="N755" s="114"/>
      <c r="O755" s="114"/>
    </row>
    <row r="756" spans="1:15" s="103" customFormat="1" ht="31.5" x14ac:dyDescent="0.25">
      <c r="A756" s="252" t="s">
        <v>59</v>
      </c>
      <c r="B756" s="136" t="s">
        <v>7</v>
      </c>
      <c r="C756" s="331" t="s">
        <v>6</v>
      </c>
      <c r="D756" s="116" t="s">
        <v>477</v>
      </c>
      <c r="E756" s="334">
        <v>600</v>
      </c>
      <c r="F756" s="575">
        <f>F757+F758+F759</f>
        <v>15189.8</v>
      </c>
      <c r="G756" s="441"/>
      <c r="H756" s="460">
        <f>H757+H758+H759</f>
        <v>32081.7</v>
      </c>
      <c r="I756" s="583"/>
      <c r="J756" s="575">
        <f>J757+J758+J759</f>
        <v>34153.699999999997</v>
      </c>
      <c r="K756" s="441"/>
      <c r="L756" s="114"/>
      <c r="N756" s="114"/>
      <c r="O756" s="114"/>
    </row>
    <row r="757" spans="1:15" s="103" customFormat="1" x14ac:dyDescent="0.25">
      <c r="A757" s="252" t="s">
        <v>60</v>
      </c>
      <c r="B757" s="136" t="s">
        <v>7</v>
      </c>
      <c r="C757" s="331" t="s">
        <v>6</v>
      </c>
      <c r="D757" s="116" t="s">
        <v>477</v>
      </c>
      <c r="E757" s="334">
        <v>610</v>
      </c>
      <c r="F757" s="575">
        <f>'ведом. 2025-2027'!AD818</f>
        <v>15189.8</v>
      </c>
      <c r="G757" s="441"/>
      <c r="H757" s="460">
        <f>'ведом. 2025-2027'!AE818</f>
        <v>28747.1</v>
      </c>
      <c r="I757" s="583"/>
      <c r="J757" s="575">
        <f>'ведом. 2025-2027'!AF818</f>
        <v>30816.199999999997</v>
      </c>
      <c r="K757" s="441"/>
      <c r="L757" s="114"/>
      <c r="N757" s="114"/>
      <c r="O757" s="114"/>
    </row>
    <row r="758" spans="1:15" s="103" customFormat="1" x14ac:dyDescent="0.25">
      <c r="A758" s="255" t="s">
        <v>128</v>
      </c>
      <c r="B758" s="136" t="s">
        <v>7</v>
      </c>
      <c r="C758" s="331" t="s">
        <v>6</v>
      </c>
      <c r="D758" s="116" t="s">
        <v>477</v>
      </c>
      <c r="E758" s="334">
        <v>620</v>
      </c>
      <c r="F758" s="575">
        <f>'ведом. 2025-2027'!AD819</f>
        <v>0</v>
      </c>
      <c r="G758" s="441"/>
      <c r="H758" s="460">
        <f>'ведом. 2025-2027'!AE819</f>
        <v>2705.8999999999996</v>
      </c>
      <c r="I758" s="583"/>
      <c r="J758" s="575">
        <f>'ведом. 2025-2027'!AF819</f>
        <v>2708.8</v>
      </c>
      <c r="K758" s="441"/>
      <c r="L758" s="114"/>
      <c r="N758" s="114"/>
      <c r="O758" s="114"/>
    </row>
    <row r="759" spans="1:15" s="103" customFormat="1" ht="47.25" x14ac:dyDescent="0.25">
      <c r="A759" s="255" t="s">
        <v>359</v>
      </c>
      <c r="B759" s="136" t="s">
        <v>7</v>
      </c>
      <c r="C759" s="331" t="s">
        <v>6</v>
      </c>
      <c r="D759" s="116" t="s">
        <v>477</v>
      </c>
      <c r="E759" s="334">
        <v>630</v>
      </c>
      <c r="F759" s="575">
        <f>'ведом. 2025-2027'!AD820</f>
        <v>0</v>
      </c>
      <c r="G759" s="441"/>
      <c r="H759" s="460">
        <f>'ведом. 2025-2027'!AE820</f>
        <v>628.70000000000005</v>
      </c>
      <c r="I759" s="583"/>
      <c r="J759" s="575">
        <f>'ведом. 2025-2027'!AF820</f>
        <v>628.70000000000005</v>
      </c>
      <c r="K759" s="441"/>
      <c r="L759" s="114"/>
      <c r="N759" s="114"/>
      <c r="O759" s="114"/>
    </row>
    <row r="760" spans="1:15" s="103" customFormat="1" x14ac:dyDescent="0.25">
      <c r="A760" s="252" t="s">
        <v>133</v>
      </c>
      <c r="B760" s="132" t="s">
        <v>7</v>
      </c>
      <c r="C760" s="331" t="s">
        <v>7</v>
      </c>
      <c r="D760" s="21"/>
      <c r="E760" s="205"/>
      <c r="F760" s="575">
        <f>F761+F767</f>
        <v>2877</v>
      </c>
      <c r="G760" s="441"/>
      <c r="H760" s="460">
        <f>H761+H767</f>
        <v>2157.9</v>
      </c>
      <c r="I760" s="583"/>
      <c r="J760" s="575">
        <f>J761+J767</f>
        <v>2246.4</v>
      </c>
      <c r="K760" s="441"/>
      <c r="L760" s="114"/>
      <c r="N760" s="114"/>
      <c r="O760" s="114"/>
    </row>
    <row r="761" spans="1:15" s="103" customFormat="1" ht="31.5" x14ac:dyDescent="0.25">
      <c r="A761" s="182" t="s">
        <v>159</v>
      </c>
      <c r="B761" s="132" t="s">
        <v>7</v>
      </c>
      <c r="C761" s="331" t="s">
        <v>7</v>
      </c>
      <c r="D761" s="21" t="s">
        <v>100</v>
      </c>
      <c r="E761" s="205"/>
      <c r="F761" s="575">
        <f>F762</f>
        <v>286.8</v>
      </c>
      <c r="G761" s="441"/>
      <c r="H761" s="460">
        <f>H762</f>
        <v>295.2</v>
      </c>
      <c r="I761" s="583"/>
      <c r="J761" s="575">
        <f>J762</f>
        <v>295.2</v>
      </c>
      <c r="K761" s="441"/>
      <c r="L761" s="114"/>
      <c r="N761" s="114"/>
      <c r="O761" s="114"/>
    </row>
    <row r="762" spans="1:15" s="103" customFormat="1" x14ac:dyDescent="0.25">
      <c r="A762" s="185" t="s">
        <v>160</v>
      </c>
      <c r="B762" s="132" t="s">
        <v>7</v>
      </c>
      <c r="C762" s="331" t="s">
        <v>7</v>
      </c>
      <c r="D762" s="21" t="s">
        <v>104</v>
      </c>
      <c r="E762" s="205"/>
      <c r="F762" s="575">
        <f>F763</f>
        <v>286.8</v>
      </c>
      <c r="G762" s="441"/>
      <c r="H762" s="460">
        <f>H763</f>
        <v>295.2</v>
      </c>
      <c r="I762" s="583"/>
      <c r="J762" s="575">
        <f>J763</f>
        <v>295.2</v>
      </c>
      <c r="K762" s="441"/>
      <c r="L762" s="114"/>
      <c r="N762" s="114"/>
      <c r="O762" s="114"/>
    </row>
    <row r="763" spans="1:15" s="103" customFormat="1" ht="31.5" x14ac:dyDescent="0.25">
      <c r="A763" s="200" t="s">
        <v>522</v>
      </c>
      <c r="B763" s="132" t="s">
        <v>7</v>
      </c>
      <c r="C763" s="331" t="s">
        <v>7</v>
      </c>
      <c r="D763" s="116" t="s">
        <v>164</v>
      </c>
      <c r="E763" s="205"/>
      <c r="F763" s="575">
        <f>F764</f>
        <v>286.8</v>
      </c>
      <c r="G763" s="441"/>
      <c r="H763" s="460">
        <f>H764</f>
        <v>295.2</v>
      </c>
      <c r="I763" s="583"/>
      <c r="J763" s="575">
        <f>J764</f>
        <v>295.2</v>
      </c>
      <c r="K763" s="441"/>
      <c r="L763" s="114"/>
      <c r="N763" s="114"/>
      <c r="O763" s="114"/>
    </row>
    <row r="764" spans="1:15" s="103" customFormat="1" ht="31.5" x14ac:dyDescent="0.25">
      <c r="A764" s="185" t="s">
        <v>587</v>
      </c>
      <c r="B764" s="132" t="s">
        <v>7</v>
      </c>
      <c r="C764" s="331" t="s">
        <v>7</v>
      </c>
      <c r="D764" s="116" t="s">
        <v>588</v>
      </c>
      <c r="E764" s="205"/>
      <c r="F764" s="575">
        <f>F765</f>
        <v>286.8</v>
      </c>
      <c r="G764" s="441"/>
      <c r="H764" s="460">
        <f>H765</f>
        <v>295.2</v>
      </c>
      <c r="I764" s="583"/>
      <c r="J764" s="575">
        <f>J765</f>
        <v>295.2</v>
      </c>
      <c r="K764" s="441"/>
      <c r="L764" s="114"/>
      <c r="N764" s="114"/>
      <c r="O764" s="114"/>
    </row>
    <row r="765" spans="1:15" s="103" customFormat="1" x14ac:dyDescent="0.25">
      <c r="A765" s="255" t="s">
        <v>118</v>
      </c>
      <c r="B765" s="132" t="s">
        <v>7</v>
      </c>
      <c r="C765" s="331" t="s">
        <v>7</v>
      </c>
      <c r="D765" s="116" t="s">
        <v>588</v>
      </c>
      <c r="E765" s="334">
        <v>200</v>
      </c>
      <c r="F765" s="575">
        <f>F766</f>
        <v>286.8</v>
      </c>
      <c r="G765" s="441"/>
      <c r="H765" s="460">
        <f>H766</f>
        <v>295.2</v>
      </c>
      <c r="I765" s="583"/>
      <c r="J765" s="575">
        <f>J766</f>
        <v>295.2</v>
      </c>
      <c r="K765" s="441"/>
      <c r="L765" s="114"/>
      <c r="N765" s="114"/>
      <c r="O765" s="114"/>
    </row>
    <row r="766" spans="1:15" s="103" customFormat="1" ht="31.5" x14ac:dyDescent="0.25">
      <c r="A766" s="255" t="s">
        <v>51</v>
      </c>
      <c r="B766" s="132" t="s">
        <v>7</v>
      </c>
      <c r="C766" s="331" t="s">
        <v>7</v>
      </c>
      <c r="D766" s="116" t="s">
        <v>588</v>
      </c>
      <c r="E766" s="334">
        <v>240</v>
      </c>
      <c r="F766" s="575">
        <f>'ведом. 2025-2027'!AD387</f>
        <v>286.8</v>
      </c>
      <c r="G766" s="441"/>
      <c r="H766" s="460">
        <f>'ведом. 2025-2027'!AE387</f>
        <v>295.2</v>
      </c>
      <c r="I766" s="583"/>
      <c r="J766" s="575">
        <f>'ведом. 2025-2027'!AF387</f>
        <v>295.2</v>
      </c>
      <c r="K766" s="441"/>
      <c r="L766" s="114"/>
      <c r="N766" s="114"/>
      <c r="O766" s="114"/>
    </row>
    <row r="767" spans="1:15" s="103" customFormat="1" ht="31.5" x14ac:dyDescent="0.25">
      <c r="A767" s="182" t="s">
        <v>296</v>
      </c>
      <c r="B767" s="132" t="s">
        <v>7</v>
      </c>
      <c r="C767" s="331" t="s">
        <v>7</v>
      </c>
      <c r="D767" s="116" t="s">
        <v>130</v>
      </c>
      <c r="E767" s="334"/>
      <c r="F767" s="575">
        <f>F768+F779</f>
        <v>2590.1999999999998</v>
      </c>
      <c r="G767" s="441"/>
      <c r="H767" s="460">
        <f>H768+H779</f>
        <v>1862.7</v>
      </c>
      <c r="I767" s="583"/>
      <c r="J767" s="575">
        <f>J768+J779</f>
        <v>1951.2</v>
      </c>
      <c r="K767" s="441"/>
      <c r="L767" s="114"/>
      <c r="N767" s="114"/>
      <c r="O767" s="114"/>
    </row>
    <row r="768" spans="1:15" s="103" customFormat="1" x14ac:dyDescent="0.25">
      <c r="A768" s="182" t="s">
        <v>305</v>
      </c>
      <c r="B768" s="9" t="s">
        <v>7</v>
      </c>
      <c r="C768" s="131" t="s">
        <v>7</v>
      </c>
      <c r="D768" s="116" t="s">
        <v>306</v>
      </c>
      <c r="E768" s="334"/>
      <c r="F768" s="575">
        <f>F769+F775</f>
        <v>2471.1999999999998</v>
      </c>
      <c r="G768" s="441"/>
      <c r="H768" s="460">
        <f>H769+H775</f>
        <v>1862.7</v>
      </c>
      <c r="I768" s="583"/>
      <c r="J768" s="575">
        <f>J769+J775</f>
        <v>1951.2</v>
      </c>
      <c r="K768" s="441"/>
      <c r="L768" s="114"/>
      <c r="N768" s="114"/>
      <c r="O768" s="114"/>
    </row>
    <row r="769" spans="1:15" s="103" customFormat="1" x14ac:dyDescent="0.25">
      <c r="A769" s="197" t="s">
        <v>508</v>
      </c>
      <c r="B769" s="9" t="s">
        <v>7</v>
      </c>
      <c r="C769" s="131" t="s">
        <v>7</v>
      </c>
      <c r="D769" s="116" t="s">
        <v>307</v>
      </c>
      <c r="E769" s="334"/>
      <c r="F769" s="575">
        <f>F770</f>
        <v>1330.6</v>
      </c>
      <c r="G769" s="441"/>
      <c r="H769" s="460">
        <f>H770</f>
        <v>612.20000000000005</v>
      </c>
      <c r="I769" s="583"/>
      <c r="J769" s="575">
        <f>J770</f>
        <v>700.7</v>
      </c>
      <c r="K769" s="441"/>
      <c r="L769" s="114"/>
      <c r="N769" s="114"/>
      <c r="O769" s="114"/>
    </row>
    <row r="770" spans="1:15" s="103" customFormat="1" ht="36" customHeight="1" x14ac:dyDescent="0.25">
      <c r="A770" s="183" t="s">
        <v>757</v>
      </c>
      <c r="B770" s="132" t="s">
        <v>7</v>
      </c>
      <c r="C770" s="331" t="s">
        <v>7</v>
      </c>
      <c r="D770" s="116" t="s">
        <v>308</v>
      </c>
      <c r="E770" s="334"/>
      <c r="F770" s="575">
        <f>F771+F773</f>
        <v>1330.6</v>
      </c>
      <c r="G770" s="441"/>
      <c r="H770" s="460">
        <f>H771+H773</f>
        <v>612.20000000000005</v>
      </c>
      <c r="I770" s="583"/>
      <c r="J770" s="575">
        <f>J771+J773</f>
        <v>700.7</v>
      </c>
      <c r="K770" s="441"/>
      <c r="L770" s="114"/>
      <c r="N770" s="114"/>
      <c r="O770" s="114"/>
    </row>
    <row r="771" spans="1:15" s="103" customFormat="1" x14ac:dyDescent="0.25">
      <c r="A771" s="255" t="s">
        <v>118</v>
      </c>
      <c r="B771" s="9" t="s">
        <v>7</v>
      </c>
      <c r="C771" s="131" t="s">
        <v>7</v>
      </c>
      <c r="D771" s="116" t="s">
        <v>308</v>
      </c>
      <c r="E771" s="334">
        <v>200</v>
      </c>
      <c r="F771" s="575">
        <f>F772</f>
        <v>597.29999999999984</v>
      </c>
      <c r="G771" s="528"/>
      <c r="H771" s="460">
        <f>H772</f>
        <v>450.00000000000006</v>
      </c>
      <c r="I771" s="588"/>
      <c r="J771" s="575">
        <f>J772</f>
        <v>450.00000000000006</v>
      </c>
      <c r="K771" s="528"/>
      <c r="L771" s="114"/>
      <c r="N771" s="114"/>
      <c r="O771" s="114"/>
    </row>
    <row r="772" spans="1:15" s="103" customFormat="1" ht="31.5" x14ac:dyDescent="0.25">
      <c r="A772" s="255" t="s">
        <v>51</v>
      </c>
      <c r="B772" s="9" t="s">
        <v>7</v>
      </c>
      <c r="C772" s="131" t="s">
        <v>7</v>
      </c>
      <c r="D772" s="116" t="s">
        <v>308</v>
      </c>
      <c r="E772" s="334">
        <v>240</v>
      </c>
      <c r="F772" s="575">
        <f>'ведом. 2025-2027'!AD393</f>
        <v>597.29999999999984</v>
      </c>
      <c r="G772" s="441"/>
      <c r="H772" s="460">
        <f>'ведом. 2025-2027'!AE393</f>
        <v>450.00000000000006</v>
      </c>
      <c r="I772" s="583"/>
      <c r="J772" s="575">
        <f>'ведом. 2025-2027'!AF393</f>
        <v>450.00000000000006</v>
      </c>
      <c r="K772" s="441"/>
      <c r="L772" s="114"/>
      <c r="N772" s="114"/>
      <c r="O772" s="114"/>
    </row>
    <row r="773" spans="1:15" s="103" customFormat="1" ht="31.5" x14ac:dyDescent="0.25">
      <c r="A773" s="294" t="s">
        <v>59</v>
      </c>
      <c r="B773" s="295" t="s">
        <v>7</v>
      </c>
      <c r="C773" s="316" t="s">
        <v>7</v>
      </c>
      <c r="D773" s="409" t="s">
        <v>308</v>
      </c>
      <c r="E773" s="552">
        <v>600</v>
      </c>
      <c r="F773" s="575">
        <f>F774</f>
        <v>733.30000000000007</v>
      </c>
      <c r="G773" s="441"/>
      <c r="H773" s="460">
        <f>H774</f>
        <v>162.19999999999999</v>
      </c>
      <c r="I773" s="583"/>
      <c r="J773" s="575">
        <f>J774</f>
        <v>250.7</v>
      </c>
      <c r="K773" s="441"/>
      <c r="L773" s="114"/>
      <c r="N773" s="114"/>
      <c r="O773" s="114"/>
    </row>
    <row r="774" spans="1:15" s="103" customFormat="1" x14ac:dyDescent="0.25">
      <c r="A774" s="294" t="s">
        <v>60</v>
      </c>
      <c r="B774" s="295" t="s">
        <v>7</v>
      </c>
      <c r="C774" s="316" t="s">
        <v>7</v>
      </c>
      <c r="D774" s="409" t="s">
        <v>308</v>
      </c>
      <c r="E774" s="552">
        <v>610</v>
      </c>
      <c r="F774" s="575">
        <f>'ведом. 2025-2027'!AD395</f>
        <v>733.30000000000007</v>
      </c>
      <c r="G774" s="441"/>
      <c r="H774" s="460">
        <f>'ведом. 2025-2027'!AE395</f>
        <v>162.19999999999999</v>
      </c>
      <c r="I774" s="583"/>
      <c r="J774" s="575">
        <f>'ведом. 2025-2027'!AF395</f>
        <v>250.7</v>
      </c>
      <c r="K774" s="441"/>
      <c r="L774" s="114"/>
      <c r="N774" s="114"/>
      <c r="O774" s="114"/>
    </row>
    <row r="775" spans="1:15" s="103" customFormat="1" ht="63" x14ac:dyDescent="0.25">
      <c r="A775" s="253" t="s">
        <v>568</v>
      </c>
      <c r="B775" s="9" t="s">
        <v>7</v>
      </c>
      <c r="C775" s="131" t="s">
        <v>7</v>
      </c>
      <c r="D775" s="223" t="s">
        <v>569</v>
      </c>
      <c r="E775" s="334"/>
      <c r="F775" s="575">
        <f>F776</f>
        <v>1140.5999999999999</v>
      </c>
      <c r="G775" s="441"/>
      <c r="H775" s="460">
        <f>H776</f>
        <v>1250.5</v>
      </c>
      <c r="I775" s="583"/>
      <c r="J775" s="575">
        <f>J776</f>
        <v>1250.5</v>
      </c>
      <c r="K775" s="441"/>
      <c r="L775" s="114"/>
      <c r="N775" s="114"/>
      <c r="O775" s="114"/>
    </row>
    <row r="776" spans="1:15" s="103" customFormat="1" ht="33.75" customHeight="1" x14ac:dyDescent="0.25">
      <c r="A776" s="253" t="s">
        <v>758</v>
      </c>
      <c r="B776" s="9" t="s">
        <v>7</v>
      </c>
      <c r="C776" s="131" t="s">
        <v>7</v>
      </c>
      <c r="D776" s="223" t="s">
        <v>570</v>
      </c>
      <c r="E776" s="334"/>
      <c r="F776" s="575">
        <f>F777</f>
        <v>1140.5999999999999</v>
      </c>
      <c r="G776" s="441"/>
      <c r="H776" s="460">
        <f>H777</f>
        <v>1250.5</v>
      </c>
      <c r="I776" s="583"/>
      <c r="J776" s="575">
        <f>J777</f>
        <v>1250.5</v>
      </c>
      <c r="K776" s="441"/>
      <c r="L776" s="114"/>
      <c r="N776" s="114"/>
      <c r="O776" s="114"/>
    </row>
    <row r="777" spans="1:15" s="103" customFormat="1" ht="31.5" x14ac:dyDescent="0.25">
      <c r="A777" s="252" t="s">
        <v>59</v>
      </c>
      <c r="B777" s="9" t="s">
        <v>7</v>
      </c>
      <c r="C777" s="131" t="s">
        <v>7</v>
      </c>
      <c r="D777" s="223" t="s">
        <v>570</v>
      </c>
      <c r="E777" s="334">
        <v>600</v>
      </c>
      <c r="F777" s="575">
        <f>F778</f>
        <v>1140.5999999999999</v>
      </c>
      <c r="G777" s="441"/>
      <c r="H777" s="460">
        <f>H778</f>
        <v>1250.5</v>
      </c>
      <c r="I777" s="583"/>
      <c r="J777" s="575">
        <f>J778</f>
        <v>1250.5</v>
      </c>
      <c r="K777" s="441"/>
      <c r="L777" s="114"/>
      <c r="N777" s="114"/>
      <c r="O777" s="114"/>
    </row>
    <row r="778" spans="1:15" s="103" customFormat="1" x14ac:dyDescent="0.25">
      <c r="A778" s="252" t="s">
        <v>60</v>
      </c>
      <c r="B778" s="9" t="s">
        <v>7</v>
      </c>
      <c r="C778" s="131" t="s">
        <v>7</v>
      </c>
      <c r="D778" s="223" t="s">
        <v>570</v>
      </c>
      <c r="E778" s="334">
        <v>610</v>
      </c>
      <c r="F778" s="575">
        <f>'ведом. 2025-2027'!AD827</f>
        <v>1140.5999999999999</v>
      </c>
      <c r="G778" s="441"/>
      <c r="H778" s="460">
        <f>'ведом. 2025-2027'!AE827</f>
        <v>1250.5</v>
      </c>
      <c r="I778" s="583"/>
      <c r="J778" s="575">
        <f>'ведом. 2025-2027'!AF827</f>
        <v>1250.5</v>
      </c>
      <c r="K778" s="441"/>
      <c r="L778" s="114"/>
      <c r="N778" s="114"/>
      <c r="O778" s="114"/>
    </row>
    <row r="779" spans="1:15" s="103" customFormat="1" ht="31.5" x14ac:dyDescent="0.25">
      <c r="A779" s="294" t="s">
        <v>796</v>
      </c>
      <c r="B779" s="295" t="s">
        <v>7</v>
      </c>
      <c r="C779" s="316" t="s">
        <v>7</v>
      </c>
      <c r="D779" s="543" t="s">
        <v>800</v>
      </c>
      <c r="E779" s="552"/>
      <c r="F779" s="575">
        <f>F780</f>
        <v>119</v>
      </c>
      <c r="G779" s="441"/>
      <c r="H779" s="460">
        <f t="shared" ref="H779:J782" si="158">H780</f>
        <v>0</v>
      </c>
      <c r="I779" s="583"/>
      <c r="J779" s="575">
        <f t="shared" si="158"/>
        <v>0</v>
      </c>
      <c r="K779" s="441"/>
      <c r="L779" s="114"/>
      <c r="N779" s="114"/>
      <c r="O779" s="114"/>
    </row>
    <row r="780" spans="1:15" s="103" customFormat="1" ht="31.5" x14ac:dyDescent="0.25">
      <c r="A780" s="294" t="s">
        <v>795</v>
      </c>
      <c r="B780" s="509" t="s">
        <v>7</v>
      </c>
      <c r="C780" s="297" t="s">
        <v>7</v>
      </c>
      <c r="D780" s="543" t="s">
        <v>799</v>
      </c>
      <c r="E780" s="552"/>
      <c r="F780" s="575">
        <f>F781</f>
        <v>119</v>
      </c>
      <c r="G780" s="441"/>
      <c r="H780" s="460">
        <f t="shared" si="158"/>
        <v>0</v>
      </c>
      <c r="I780" s="583"/>
      <c r="J780" s="575">
        <f t="shared" si="158"/>
        <v>0</v>
      </c>
      <c r="K780" s="441"/>
      <c r="L780" s="114"/>
      <c r="N780" s="114"/>
      <c r="O780" s="114"/>
    </row>
    <row r="781" spans="1:15" s="103" customFormat="1" x14ac:dyDescent="0.25">
      <c r="A781" s="294" t="s">
        <v>797</v>
      </c>
      <c r="B781" s="295" t="s">
        <v>7</v>
      </c>
      <c r="C781" s="316" t="s">
        <v>7</v>
      </c>
      <c r="D781" s="543" t="s">
        <v>798</v>
      </c>
      <c r="E781" s="552"/>
      <c r="F781" s="575">
        <f>F782</f>
        <v>119</v>
      </c>
      <c r="G781" s="441"/>
      <c r="H781" s="460">
        <f t="shared" si="158"/>
        <v>0</v>
      </c>
      <c r="I781" s="583"/>
      <c r="J781" s="575">
        <f t="shared" si="158"/>
        <v>0</v>
      </c>
      <c r="K781" s="441"/>
      <c r="L781" s="114"/>
      <c r="N781" s="114"/>
      <c r="O781" s="114"/>
    </row>
    <row r="782" spans="1:15" s="103" customFormat="1" ht="31.5" x14ac:dyDescent="0.25">
      <c r="A782" s="294" t="s">
        <v>59</v>
      </c>
      <c r="B782" s="295" t="s">
        <v>7</v>
      </c>
      <c r="C782" s="316" t="s">
        <v>7</v>
      </c>
      <c r="D782" s="543" t="s">
        <v>798</v>
      </c>
      <c r="E782" s="552">
        <v>600</v>
      </c>
      <c r="F782" s="575">
        <f>F783</f>
        <v>119</v>
      </c>
      <c r="G782" s="441"/>
      <c r="H782" s="460">
        <f t="shared" si="158"/>
        <v>0</v>
      </c>
      <c r="I782" s="583"/>
      <c r="J782" s="575">
        <f t="shared" si="158"/>
        <v>0</v>
      </c>
      <c r="K782" s="441"/>
      <c r="L782" s="114"/>
      <c r="N782" s="114"/>
      <c r="O782" s="114"/>
    </row>
    <row r="783" spans="1:15" s="103" customFormat="1" x14ac:dyDescent="0.25">
      <c r="A783" s="294" t="s">
        <v>60</v>
      </c>
      <c r="B783" s="295" t="s">
        <v>7</v>
      </c>
      <c r="C783" s="316" t="s">
        <v>7</v>
      </c>
      <c r="D783" s="543" t="s">
        <v>798</v>
      </c>
      <c r="E783" s="552">
        <v>610</v>
      </c>
      <c r="F783" s="575">
        <f>'ведом. 2025-2027'!AD400</f>
        <v>119</v>
      </c>
      <c r="G783" s="441"/>
      <c r="H783" s="460">
        <v>0</v>
      </c>
      <c r="I783" s="583"/>
      <c r="J783" s="575">
        <v>0</v>
      </c>
      <c r="K783" s="441"/>
      <c r="L783" s="114"/>
      <c r="N783" s="114"/>
      <c r="O783" s="114"/>
    </row>
    <row r="784" spans="1:15" s="103" customFormat="1" x14ac:dyDescent="0.25">
      <c r="A784" s="252" t="s">
        <v>37</v>
      </c>
      <c r="B784" s="132" t="s">
        <v>7</v>
      </c>
      <c r="C784" s="331" t="s">
        <v>21</v>
      </c>
      <c r="D784" s="21"/>
      <c r="E784" s="334"/>
      <c r="F784" s="575">
        <f>F785+F803</f>
        <v>34013.300000000003</v>
      </c>
      <c r="G784" s="441">
        <f t="shared" ref="G784:K784" si="159">G785+G803</f>
        <v>4061</v>
      </c>
      <c r="H784" s="460">
        <f t="shared" si="159"/>
        <v>33009.100000000006</v>
      </c>
      <c r="I784" s="583">
        <f t="shared" si="159"/>
        <v>4229</v>
      </c>
      <c r="J784" s="575">
        <f t="shared" si="159"/>
        <v>33066.100000000006</v>
      </c>
      <c r="K784" s="441">
        <f t="shared" si="159"/>
        <v>4262</v>
      </c>
      <c r="L784" s="114"/>
      <c r="N784" s="114"/>
      <c r="O784" s="114"/>
    </row>
    <row r="785" spans="1:15" s="103" customFormat="1" x14ac:dyDescent="0.25">
      <c r="A785" s="182" t="s">
        <v>260</v>
      </c>
      <c r="B785" s="132" t="s">
        <v>7</v>
      </c>
      <c r="C785" s="331" t="s">
        <v>21</v>
      </c>
      <c r="D785" s="21" t="s">
        <v>98</v>
      </c>
      <c r="E785" s="205"/>
      <c r="F785" s="575">
        <f>F786</f>
        <v>26563.100000000002</v>
      </c>
      <c r="G785" s="441"/>
      <c r="H785" s="460">
        <f>H786</f>
        <v>25755.100000000002</v>
      </c>
      <c r="I785" s="583"/>
      <c r="J785" s="575">
        <f>J786</f>
        <v>25755.100000000002</v>
      </c>
      <c r="K785" s="441"/>
      <c r="L785" s="114"/>
      <c r="N785" s="114"/>
      <c r="O785" s="114"/>
    </row>
    <row r="786" spans="1:15" s="103" customFormat="1" x14ac:dyDescent="0.25">
      <c r="A786" s="182" t="s">
        <v>47</v>
      </c>
      <c r="B786" s="132" t="s">
        <v>7</v>
      </c>
      <c r="C786" s="331" t="s">
        <v>21</v>
      </c>
      <c r="D786" s="116" t="s">
        <v>478</v>
      </c>
      <c r="E786" s="334"/>
      <c r="F786" s="575">
        <f>F787</f>
        <v>26563.100000000002</v>
      </c>
      <c r="G786" s="441"/>
      <c r="H786" s="460">
        <f>H787</f>
        <v>25755.100000000002</v>
      </c>
      <c r="I786" s="583"/>
      <c r="J786" s="575">
        <f>J787</f>
        <v>25755.100000000002</v>
      </c>
      <c r="K786" s="441"/>
      <c r="L786" s="114"/>
      <c r="N786" s="114"/>
      <c r="O786" s="114"/>
    </row>
    <row r="787" spans="1:15" s="103" customFormat="1" ht="31.5" x14ac:dyDescent="0.25">
      <c r="A787" s="182" t="s">
        <v>267</v>
      </c>
      <c r="B787" s="132" t="s">
        <v>7</v>
      </c>
      <c r="C787" s="331" t="s">
        <v>21</v>
      </c>
      <c r="D787" s="116" t="s">
        <v>479</v>
      </c>
      <c r="E787" s="334"/>
      <c r="F787" s="575">
        <f>F788+F798</f>
        <v>26563.100000000002</v>
      </c>
      <c r="G787" s="441"/>
      <c r="H787" s="460">
        <f>H788+H798</f>
        <v>25755.100000000002</v>
      </c>
      <c r="I787" s="583"/>
      <c r="J787" s="575">
        <f>J788+J798</f>
        <v>25755.100000000002</v>
      </c>
      <c r="K787" s="441"/>
      <c r="L787" s="114"/>
      <c r="N787" s="114"/>
      <c r="O787" s="114"/>
    </row>
    <row r="788" spans="1:15" s="103" customFormat="1" x14ac:dyDescent="0.25">
      <c r="A788" s="183" t="s">
        <v>203</v>
      </c>
      <c r="B788" s="132" t="s">
        <v>7</v>
      </c>
      <c r="C788" s="331" t="s">
        <v>21</v>
      </c>
      <c r="D788" s="116" t="s">
        <v>480</v>
      </c>
      <c r="E788" s="334"/>
      <c r="F788" s="575">
        <f>F789+F792+F795</f>
        <v>26475.200000000001</v>
      </c>
      <c r="G788" s="441"/>
      <c r="H788" s="460">
        <f>H789+H792+H795</f>
        <v>25567.200000000001</v>
      </c>
      <c r="I788" s="583"/>
      <c r="J788" s="575">
        <f>J789+J792+J795</f>
        <v>25567.200000000001</v>
      </c>
      <c r="K788" s="441"/>
      <c r="L788" s="114"/>
      <c r="N788" s="114"/>
      <c r="O788" s="114"/>
    </row>
    <row r="789" spans="1:15" s="103" customFormat="1" ht="31.5" x14ac:dyDescent="0.25">
      <c r="A789" s="252" t="s">
        <v>204</v>
      </c>
      <c r="B789" s="132" t="s">
        <v>7</v>
      </c>
      <c r="C789" s="331" t="s">
        <v>21</v>
      </c>
      <c r="D789" s="116" t="s">
        <v>481</v>
      </c>
      <c r="E789" s="334"/>
      <c r="F789" s="575">
        <f>F790</f>
        <v>1495.2</v>
      </c>
      <c r="G789" s="441"/>
      <c r="H789" s="460">
        <f>H790</f>
        <v>1485.2</v>
      </c>
      <c r="I789" s="583"/>
      <c r="J789" s="575">
        <f>J790</f>
        <v>1485.2</v>
      </c>
      <c r="K789" s="441"/>
      <c r="L789" s="114"/>
      <c r="N789" s="114"/>
      <c r="O789" s="114"/>
    </row>
    <row r="790" spans="1:15" s="103" customFormat="1" x14ac:dyDescent="0.25">
      <c r="A790" s="252" t="s">
        <v>118</v>
      </c>
      <c r="B790" s="132" t="s">
        <v>7</v>
      </c>
      <c r="C790" s="331" t="s">
        <v>21</v>
      </c>
      <c r="D790" s="116" t="s">
        <v>481</v>
      </c>
      <c r="E790" s="334">
        <v>200</v>
      </c>
      <c r="F790" s="575">
        <f>F791</f>
        <v>1495.2</v>
      </c>
      <c r="G790" s="441"/>
      <c r="H790" s="460">
        <f>H791</f>
        <v>1485.2</v>
      </c>
      <c r="I790" s="583"/>
      <c r="J790" s="575">
        <f>J791</f>
        <v>1485.2</v>
      </c>
      <c r="K790" s="441"/>
      <c r="L790" s="114"/>
      <c r="N790" s="114"/>
      <c r="O790" s="114"/>
    </row>
    <row r="791" spans="1:15" s="103" customFormat="1" ht="20.25" customHeight="1" x14ac:dyDescent="0.25">
      <c r="A791" s="252" t="s">
        <v>51</v>
      </c>
      <c r="B791" s="132" t="s">
        <v>7</v>
      </c>
      <c r="C791" s="331" t="s">
        <v>21</v>
      </c>
      <c r="D791" s="116" t="s">
        <v>481</v>
      </c>
      <c r="E791" s="334">
        <v>240</v>
      </c>
      <c r="F791" s="575">
        <f>'ведом. 2025-2027'!AD835</f>
        <v>1495.2</v>
      </c>
      <c r="G791" s="441"/>
      <c r="H791" s="460">
        <f>'ведом. 2025-2027'!AE835</f>
        <v>1485.2</v>
      </c>
      <c r="I791" s="583"/>
      <c r="J791" s="575">
        <f>'ведом. 2025-2027'!AF835</f>
        <v>1485.2</v>
      </c>
      <c r="K791" s="441"/>
      <c r="L791" s="114"/>
      <c r="N791" s="114"/>
      <c r="O791" s="114"/>
    </row>
    <row r="792" spans="1:15" s="103" customFormat="1" ht="31.5" x14ac:dyDescent="0.25">
      <c r="A792" s="198" t="s">
        <v>345</v>
      </c>
      <c r="B792" s="132" t="s">
        <v>7</v>
      </c>
      <c r="C792" s="331" t="s">
        <v>21</v>
      </c>
      <c r="D792" s="116" t="s">
        <v>482</v>
      </c>
      <c r="E792" s="334"/>
      <c r="F792" s="575">
        <f>F793</f>
        <v>11514.6</v>
      </c>
      <c r="G792" s="441"/>
      <c r="H792" s="460">
        <f>H793</f>
        <v>10616.6</v>
      </c>
      <c r="I792" s="583"/>
      <c r="J792" s="575">
        <f>J793</f>
        <v>10616.6</v>
      </c>
      <c r="K792" s="441"/>
      <c r="L792" s="114"/>
      <c r="N792" s="114"/>
      <c r="O792" s="114"/>
    </row>
    <row r="793" spans="1:15" s="103" customFormat="1" ht="47.25" x14ac:dyDescent="0.25">
      <c r="A793" s="252" t="s">
        <v>40</v>
      </c>
      <c r="B793" s="132" t="s">
        <v>7</v>
      </c>
      <c r="C793" s="331" t="s">
        <v>21</v>
      </c>
      <c r="D793" s="116" t="s">
        <v>482</v>
      </c>
      <c r="E793" s="334">
        <v>100</v>
      </c>
      <c r="F793" s="575">
        <f>F794</f>
        <v>11514.6</v>
      </c>
      <c r="G793" s="441"/>
      <c r="H793" s="460">
        <f>H794</f>
        <v>10616.6</v>
      </c>
      <c r="I793" s="583"/>
      <c r="J793" s="575">
        <f>J794</f>
        <v>10616.6</v>
      </c>
      <c r="K793" s="441"/>
      <c r="L793" s="114"/>
      <c r="N793" s="114"/>
      <c r="O793" s="114"/>
    </row>
    <row r="794" spans="1:15" s="103" customFormat="1" x14ac:dyDescent="0.25">
      <c r="A794" s="252" t="s">
        <v>94</v>
      </c>
      <c r="B794" s="132" t="s">
        <v>7</v>
      </c>
      <c r="C794" s="331" t="s">
        <v>21</v>
      </c>
      <c r="D794" s="116" t="s">
        <v>482</v>
      </c>
      <c r="E794" s="334">
        <v>120</v>
      </c>
      <c r="F794" s="575">
        <f>'ведом. 2025-2027'!AD838</f>
        <v>11514.6</v>
      </c>
      <c r="G794" s="441"/>
      <c r="H794" s="460">
        <f>'ведом. 2025-2027'!AE838</f>
        <v>10616.6</v>
      </c>
      <c r="I794" s="583"/>
      <c r="J794" s="575">
        <f>'ведом. 2025-2027'!AF838</f>
        <v>10616.6</v>
      </c>
      <c r="K794" s="441"/>
      <c r="L794" s="114"/>
      <c r="N794" s="114"/>
      <c r="O794" s="114"/>
    </row>
    <row r="795" spans="1:15" s="103" customFormat="1" ht="31.5" x14ac:dyDescent="0.25">
      <c r="A795" s="252" t="s">
        <v>268</v>
      </c>
      <c r="B795" s="132" t="s">
        <v>7</v>
      </c>
      <c r="C795" s="331" t="s">
        <v>21</v>
      </c>
      <c r="D795" s="116" t="s">
        <v>483</v>
      </c>
      <c r="E795" s="334"/>
      <c r="F795" s="579">
        <f>F796</f>
        <v>13465.4</v>
      </c>
      <c r="G795" s="441"/>
      <c r="H795" s="547">
        <f>H796</f>
        <v>13465.4</v>
      </c>
      <c r="I795" s="583"/>
      <c r="J795" s="579">
        <f>J796</f>
        <v>13465.4</v>
      </c>
      <c r="K795" s="441"/>
      <c r="L795" s="114"/>
      <c r="N795" s="114"/>
      <c r="O795" s="114"/>
    </row>
    <row r="796" spans="1:15" s="103" customFormat="1" ht="47.25" x14ac:dyDescent="0.25">
      <c r="A796" s="252" t="s">
        <v>40</v>
      </c>
      <c r="B796" s="132" t="s">
        <v>7</v>
      </c>
      <c r="C796" s="331" t="s">
        <v>21</v>
      </c>
      <c r="D796" s="116" t="s">
        <v>483</v>
      </c>
      <c r="E796" s="334">
        <v>100</v>
      </c>
      <c r="F796" s="575">
        <f>F797</f>
        <v>13465.4</v>
      </c>
      <c r="G796" s="441"/>
      <c r="H796" s="460">
        <f>H797</f>
        <v>13465.4</v>
      </c>
      <c r="I796" s="583"/>
      <c r="J796" s="575">
        <f>J797</f>
        <v>13465.4</v>
      </c>
      <c r="K796" s="441"/>
      <c r="L796" s="114"/>
      <c r="N796" s="114"/>
      <c r="O796" s="114"/>
    </row>
    <row r="797" spans="1:15" s="103" customFormat="1" x14ac:dyDescent="0.25">
      <c r="A797" s="252" t="s">
        <v>94</v>
      </c>
      <c r="B797" s="132" t="s">
        <v>7</v>
      </c>
      <c r="C797" s="331" t="s">
        <v>21</v>
      </c>
      <c r="D797" s="116" t="s">
        <v>483</v>
      </c>
      <c r="E797" s="334">
        <v>120</v>
      </c>
      <c r="F797" s="575">
        <f>'ведом. 2025-2027'!AD841</f>
        <v>13465.4</v>
      </c>
      <c r="G797" s="441"/>
      <c r="H797" s="460">
        <f>'ведом. 2025-2027'!AE841</f>
        <v>13465.4</v>
      </c>
      <c r="I797" s="583"/>
      <c r="J797" s="575">
        <f>'ведом. 2025-2027'!AF841</f>
        <v>13465.4</v>
      </c>
      <c r="K797" s="441"/>
      <c r="L797" s="114"/>
      <c r="N797" s="114"/>
      <c r="O797" s="114"/>
    </row>
    <row r="798" spans="1:15" s="103" customFormat="1" x14ac:dyDescent="0.25">
      <c r="A798" s="252" t="s">
        <v>269</v>
      </c>
      <c r="B798" s="132" t="s">
        <v>7</v>
      </c>
      <c r="C798" s="331" t="s">
        <v>21</v>
      </c>
      <c r="D798" s="116" t="s">
        <v>484</v>
      </c>
      <c r="E798" s="334"/>
      <c r="F798" s="575">
        <f>F799+F801</f>
        <v>87.9</v>
      </c>
      <c r="G798" s="441"/>
      <c r="H798" s="460">
        <f>H799+H801</f>
        <v>187.9</v>
      </c>
      <c r="I798" s="583"/>
      <c r="J798" s="575">
        <f>J799+J801</f>
        <v>187.9</v>
      </c>
      <c r="K798" s="441"/>
      <c r="L798" s="114"/>
      <c r="N798" s="114"/>
      <c r="O798" s="114"/>
    </row>
    <row r="799" spans="1:15" s="103" customFormat="1" x14ac:dyDescent="0.25">
      <c r="A799" s="252" t="s">
        <v>118</v>
      </c>
      <c r="B799" s="132" t="s">
        <v>7</v>
      </c>
      <c r="C799" s="331" t="s">
        <v>21</v>
      </c>
      <c r="D799" s="116" t="s">
        <v>484</v>
      </c>
      <c r="E799" s="334">
        <v>200</v>
      </c>
      <c r="F799" s="575">
        <f>F800</f>
        <v>0</v>
      </c>
      <c r="G799" s="441"/>
      <c r="H799" s="460">
        <f>H800</f>
        <v>187.9</v>
      </c>
      <c r="I799" s="583"/>
      <c r="J799" s="575">
        <f>J800</f>
        <v>187.9</v>
      </c>
      <c r="K799" s="441"/>
      <c r="L799" s="114"/>
      <c r="N799" s="114"/>
      <c r="O799" s="114"/>
    </row>
    <row r="800" spans="1:15" s="103" customFormat="1" ht="31.5" x14ac:dyDescent="0.25">
      <c r="A800" s="252" t="s">
        <v>51</v>
      </c>
      <c r="B800" s="132" t="s">
        <v>7</v>
      </c>
      <c r="C800" s="331" t="s">
        <v>21</v>
      </c>
      <c r="D800" s="116" t="s">
        <v>484</v>
      </c>
      <c r="E800" s="334">
        <v>240</v>
      </c>
      <c r="F800" s="575">
        <f>'ведом. 2025-2027'!AD844</f>
        <v>0</v>
      </c>
      <c r="G800" s="441"/>
      <c r="H800" s="460">
        <f>'ведом. 2025-2027'!AE844</f>
        <v>187.9</v>
      </c>
      <c r="I800" s="583"/>
      <c r="J800" s="575">
        <f>'ведом. 2025-2027'!AF844</f>
        <v>187.9</v>
      </c>
      <c r="K800" s="441"/>
      <c r="L800" s="114"/>
      <c r="N800" s="114"/>
      <c r="O800" s="114"/>
    </row>
    <row r="801" spans="1:15" s="103" customFormat="1" x14ac:dyDescent="0.25">
      <c r="A801" s="294" t="s">
        <v>95</v>
      </c>
      <c r="B801" s="132" t="s">
        <v>7</v>
      </c>
      <c r="C801" s="331" t="s">
        <v>21</v>
      </c>
      <c r="D801" s="116" t="s">
        <v>484</v>
      </c>
      <c r="E801" s="334">
        <v>300</v>
      </c>
      <c r="F801" s="575">
        <f>F802</f>
        <v>87.9</v>
      </c>
      <c r="G801" s="441"/>
      <c r="H801" s="460">
        <f>H802</f>
        <v>0</v>
      </c>
      <c r="I801" s="583"/>
      <c r="J801" s="575">
        <f>J802</f>
        <v>0</v>
      </c>
      <c r="K801" s="441"/>
      <c r="L801" s="114"/>
      <c r="N801" s="114"/>
      <c r="O801" s="114"/>
    </row>
    <row r="802" spans="1:15" s="103" customFormat="1" x14ac:dyDescent="0.25">
      <c r="A802" s="294" t="s">
        <v>874</v>
      </c>
      <c r="B802" s="132" t="s">
        <v>7</v>
      </c>
      <c r="C802" s="331" t="s">
        <v>21</v>
      </c>
      <c r="D802" s="116" t="s">
        <v>484</v>
      </c>
      <c r="E802" s="334">
        <v>340</v>
      </c>
      <c r="F802" s="575">
        <f>'ведом. 2025-2027'!AD846</f>
        <v>87.9</v>
      </c>
      <c r="G802" s="441"/>
      <c r="H802" s="460">
        <f>'ведом. 2025-2027'!AE846</f>
        <v>0</v>
      </c>
      <c r="I802" s="583"/>
      <c r="J802" s="575">
        <f>'ведом. 2025-2027'!AF846</f>
        <v>0</v>
      </c>
      <c r="K802" s="441"/>
      <c r="L802" s="114"/>
      <c r="N802" s="114"/>
      <c r="O802" s="114"/>
    </row>
    <row r="803" spans="1:15" s="103" customFormat="1" x14ac:dyDescent="0.25">
      <c r="A803" s="182" t="s">
        <v>290</v>
      </c>
      <c r="B803" s="132" t="s">
        <v>7</v>
      </c>
      <c r="C803" s="331" t="s">
        <v>21</v>
      </c>
      <c r="D803" s="116" t="s">
        <v>107</v>
      </c>
      <c r="E803" s="334"/>
      <c r="F803" s="575">
        <f t="shared" ref="F803:K804" si="160">F804</f>
        <v>7450.2</v>
      </c>
      <c r="G803" s="441">
        <f t="shared" si="160"/>
        <v>4061</v>
      </c>
      <c r="H803" s="460">
        <f t="shared" si="160"/>
        <v>7254</v>
      </c>
      <c r="I803" s="583">
        <f t="shared" si="160"/>
        <v>4229</v>
      </c>
      <c r="J803" s="575">
        <f t="shared" si="160"/>
        <v>7311</v>
      </c>
      <c r="K803" s="441">
        <f t="shared" si="160"/>
        <v>4262</v>
      </c>
      <c r="L803" s="114"/>
      <c r="N803" s="114"/>
      <c r="O803" s="114"/>
    </row>
    <row r="804" spans="1:15" s="103" customFormat="1" x14ac:dyDescent="0.25">
      <c r="A804" s="182" t="s">
        <v>294</v>
      </c>
      <c r="B804" s="132" t="s">
        <v>7</v>
      </c>
      <c r="C804" s="331" t="s">
        <v>21</v>
      </c>
      <c r="D804" s="116" t="s">
        <v>108</v>
      </c>
      <c r="E804" s="334"/>
      <c r="F804" s="575">
        <f t="shared" si="160"/>
        <v>7450.2</v>
      </c>
      <c r="G804" s="441">
        <f t="shared" si="160"/>
        <v>4061</v>
      </c>
      <c r="H804" s="460">
        <f t="shared" si="160"/>
        <v>7254</v>
      </c>
      <c r="I804" s="583">
        <f t="shared" si="160"/>
        <v>4229</v>
      </c>
      <c r="J804" s="575">
        <f t="shared" si="160"/>
        <v>7311</v>
      </c>
      <c r="K804" s="441">
        <f t="shared" si="160"/>
        <v>4262</v>
      </c>
      <c r="L804" s="114"/>
      <c r="N804" s="114"/>
      <c r="O804" s="114"/>
    </row>
    <row r="805" spans="1:15" s="103" customFormat="1" x14ac:dyDescent="0.25">
      <c r="A805" s="183" t="s">
        <v>509</v>
      </c>
      <c r="B805" s="132" t="s">
        <v>7</v>
      </c>
      <c r="C805" s="331" t="s">
        <v>21</v>
      </c>
      <c r="D805" s="116" t="s">
        <v>498</v>
      </c>
      <c r="E805" s="334"/>
      <c r="F805" s="575">
        <f t="shared" ref="F805:K805" si="161">F811+F806</f>
        <v>7450.2</v>
      </c>
      <c r="G805" s="441">
        <f t="shared" si="161"/>
        <v>4061</v>
      </c>
      <c r="H805" s="460">
        <f t="shared" si="161"/>
        <v>7254</v>
      </c>
      <c r="I805" s="583">
        <f t="shared" si="161"/>
        <v>4229</v>
      </c>
      <c r="J805" s="575">
        <f t="shared" si="161"/>
        <v>7311</v>
      </c>
      <c r="K805" s="441">
        <f t="shared" si="161"/>
        <v>4262</v>
      </c>
      <c r="L805" s="114"/>
      <c r="N805" s="114"/>
      <c r="O805" s="114"/>
    </row>
    <row r="806" spans="1:15" s="103" customFormat="1" ht="47.25" x14ac:dyDescent="0.25">
      <c r="A806" s="453" t="s">
        <v>831</v>
      </c>
      <c r="B806" s="509" t="s">
        <v>7</v>
      </c>
      <c r="C806" s="297" t="s">
        <v>21</v>
      </c>
      <c r="D806" s="409" t="s">
        <v>832</v>
      </c>
      <c r="E806" s="552"/>
      <c r="F806" s="575">
        <f>F809+F807</f>
        <v>484.20000000000005</v>
      </c>
      <c r="G806" s="441"/>
      <c r="H806" s="460">
        <f>H809+H807</f>
        <v>0</v>
      </c>
      <c r="I806" s="583"/>
      <c r="J806" s="575">
        <f>J809+J807</f>
        <v>0</v>
      </c>
      <c r="K806" s="441"/>
      <c r="L806" s="114"/>
      <c r="N806" s="114"/>
      <c r="O806" s="114"/>
    </row>
    <row r="807" spans="1:15" s="103" customFormat="1" x14ac:dyDescent="0.25">
      <c r="A807" s="294" t="s">
        <v>95</v>
      </c>
      <c r="B807" s="509" t="s">
        <v>7</v>
      </c>
      <c r="C807" s="297" t="s">
        <v>21</v>
      </c>
      <c r="D807" s="409" t="s">
        <v>832</v>
      </c>
      <c r="E807" s="552">
        <v>300</v>
      </c>
      <c r="F807" s="575">
        <f>F808</f>
        <v>245.9</v>
      </c>
      <c r="G807" s="441"/>
      <c r="H807" s="460">
        <f>H808</f>
        <v>0</v>
      </c>
      <c r="I807" s="583"/>
      <c r="J807" s="575">
        <f>J808</f>
        <v>0</v>
      </c>
      <c r="K807" s="441"/>
      <c r="L807" s="114"/>
      <c r="N807" s="114"/>
      <c r="O807" s="114"/>
    </row>
    <row r="808" spans="1:15" s="103" customFormat="1" x14ac:dyDescent="0.25">
      <c r="A808" s="294" t="s">
        <v>39</v>
      </c>
      <c r="B808" s="509" t="s">
        <v>7</v>
      </c>
      <c r="C808" s="297" t="s">
        <v>21</v>
      </c>
      <c r="D808" s="409" t="s">
        <v>832</v>
      </c>
      <c r="E808" s="552">
        <v>320</v>
      </c>
      <c r="F808" s="575">
        <f>'ведом. 2025-2027'!AD407+'ведом. 2025-2027'!AD627+'ведом. 2025-2027'!AD585</f>
        <v>245.9</v>
      </c>
      <c r="G808" s="441"/>
      <c r="H808" s="460">
        <f>'ведом. 2025-2027'!AE407</f>
        <v>0</v>
      </c>
      <c r="I808" s="583"/>
      <c r="J808" s="575">
        <f>'ведом. 2025-2027'!AF407</f>
        <v>0</v>
      </c>
      <c r="K808" s="441"/>
      <c r="L808" s="114"/>
      <c r="N808" s="114"/>
      <c r="O808" s="114"/>
    </row>
    <row r="809" spans="1:15" s="103" customFormat="1" ht="31.5" x14ac:dyDescent="0.25">
      <c r="A809" s="294" t="s">
        <v>59</v>
      </c>
      <c r="B809" s="509" t="s">
        <v>7</v>
      </c>
      <c r="C809" s="297" t="s">
        <v>21</v>
      </c>
      <c r="D809" s="409" t="s">
        <v>832</v>
      </c>
      <c r="E809" s="552">
        <v>600</v>
      </c>
      <c r="F809" s="575">
        <f>F810</f>
        <v>238.3</v>
      </c>
      <c r="G809" s="441"/>
      <c r="H809" s="460">
        <f>H810</f>
        <v>0</v>
      </c>
      <c r="I809" s="583"/>
      <c r="J809" s="575">
        <f>J810</f>
        <v>0</v>
      </c>
      <c r="K809" s="441"/>
      <c r="L809" s="114"/>
      <c r="N809" s="114"/>
      <c r="O809" s="114"/>
    </row>
    <row r="810" spans="1:15" s="103" customFormat="1" x14ac:dyDescent="0.25">
      <c r="A810" s="294" t="s">
        <v>60</v>
      </c>
      <c r="B810" s="509" t="s">
        <v>7</v>
      </c>
      <c r="C810" s="297" t="s">
        <v>21</v>
      </c>
      <c r="D810" s="409" t="s">
        <v>832</v>
      </c>
      <c r="E810" s="552">
        <v>610</v>
      </c>
      <c r="F810" s="575">
        <f>'ведом. 2025-2027'!AD852+'ведом. 2025-2027'!AD409</f>
        <v>238.3</v>
      </c>
      <c r="G810" s="441"/>
      <c r="H810" s="460">
        <f>'ведом. 2025-2027'!AE852+'ведом. 2025-2027'!AE409</f>
        <v>0</v>
      </c>
      <c r="I810" s="583"/>
      <c r="J810" s="575">
        <f>'ведом. 2025-2027'!AF852+'ведом. 2025-2027'!AF409</f>
        <v>0</v>
      </c>
      <c r="K810" s="441"/>
      <c r="L810" s="114"/>
      <c r="N810" s="114"/>
      <c r="O810" s="114"/>
    </row>
    <row r="811" spans="1:15" s="103" customFormat="1" x14ac:dyDescent="0.25">
      <c r="A811" s="183" t="s">
        <v>295</v>
      </c>
      <c r="B811" s="132" t="s">
        <v>7</v>
      </c>
      <c r="C811" s="331" t="s">
        <v>21</v>
      </c>
      <c r="D811" s="116" t="s">
        <v>500</v>
      </c>
      <c r="E811" s="334"/>
      <c r="F811" s="575">
        <f t="shared" ref="F811:K811" si="162">F812+F819</f>
        <v>6966</v>
      </c>
      <c r="G811" s="441">
        <f t="shared" si="162"/>
        <v>4061</v>
      </c>
      <c r="H811" s="460">
        <f t="shared" si="162"/>
        <v>7254</v>
      </c>
      <c r="I811" s="583">
        <f t="shared" si="162"/>
        <v>4229</v>
      </c>
      <c r="J811" s="575">
        <f t="shared" si="162"/>
        <v>7311</v>
      </c>
      <c r="K811" s="441">
        <f t="shared" si="162"/>
        <v>4262</v>
      </c>
      <c r="L811" s="114"/>
      <c r="M811" s="114"/>
      <c r="N811" s="114"/>
      <c r="O811" s="114"/>
    </row>
    <row r="812" spans="1:15" s="103" customFormat="1" ht="47.25" x14ac:dyDescent="0.25">
      <c r="A812" s="183" t="s">
        <v>315</v>
      </c>
      <c r="B812" s="132" t="s">
        <v>7</v>
      </c>
      <c r="C812" s="331" t="s">
        <v>21</v>
      </c>
      <c r="D812" s="116" t="s">
        <v>501</v>
      </c>
      <c r="E812" s="334"/>
      <c r="F812" s="575">
        <f t="shared" ref="F812:K812" si="163">F813+F817+F815</f>
        <v>5343.5999999999995</v>
      </c>
      <c r="G812" s="441">
        <f t="shared" si="163"/>
        <v>3115.2</v>
      </c>
      <c r="H812" s="460">
        <f t="shared" si="163"/>
        <v>5184</v>
      </c>
      <c r="I812" s="583">
        <f t="shared" si="163"/>
        <v>3379</v>
      </c>
      <c r="J812" s="575">
        <f t="shared" si="163"/>
        <v>5231</v>
      </c>
      <c r="K812" s="441">
        <f t="shared" si="163"/>
        <v>3412</v>
      </c>
      <c r="L812" s="114"/>
      <c r="N812" s="114"/>
      <c r="O812" s="114"/>
    </row>
    <row r="813" spans="1:15" s="103" customFormat="1" x14ac:dyDescent="0.25">
      <c r="A813" s="252" t="s">
        <v>118</v>
      </c>
      <c r="B813" s="132" t="s">
        <v>7</v>
      </c>
      <c r="C813" s="331" t="s">
        <v>21</v>
      </c>
      <c r="D813" s="116" t="s">
        <v>501</v>
      </c>
      <c r="E813" s="334">
        <v>200</v>
      </c>
      <c r="F813" s="575">
        <f t="shared" ref="F813:K813" si="164">F814</f>
        <v>2500</v>
      </c>
      <c r="G813" s="441">
        <f t="shared" si="164"/>
        <v>1457.3999999999999</v>
      </c>
      <c r="H813" s="460">
        <f t="shared" si="164"/>
        <v>2820</v>
      </c>
      <c r="I813" s="583">
        <f t="shared" si="164"/>
        <v>2650</v>
      </c>
      <c r="J813" s="575">
        <f t="shared" si="164"/>
        <v>2840</v>
      </c>
      <c r="K813" s="441">
        <f t="shared" si="164"/>
        <v>2670</v>
      </c>
      <c r="L813" s="114"/>
      <c r="N813" s="114"/>
      <c r="O813" s="114"/>
    </row>
    <row r="814" spans="1:15" s="103" customFormat="1" ht="31.5" x14ac:dyDescent="0.25">
      <c r="A814" s="252" t="s">
        <v>51</v>
      </c>
      <c r="B814" s="132" t="s">
        <v>7</v>
      </c>
      <c r="C814" s="331" t="s">
        <v>21</v>
      </c>
      <c r="D814" s="116" t="s">
        <v>501</v>
      </c>
      <c r="E814" s="334">
        <v>240</v>
      </c>
      <c r="F814" s="575">
        <f>'ведом. 2025-2027'!AD413</f>
        <v>2500</v>
      </c>
      <c r="G814" s="441">
        <f>2640-90-824.4-268.2</f>
        <v>1457.3999999999999</v>
      </c>
      <c r="H814" s="460">
        <f>'ведом. 2025-2027'!AE413</f>
        <v>2820</v>
      </c>
      <c r="I814" s="583">
        <v>2650</v>
      </c>
      <c r="J814" s="575">
        <f>'ведом. 2025-2027'!AF413</f>
        <v>2840</v>
      </c>
      <c r="K814" s="441">
        <v>2670</v>
      </c>
      <c r="L814" s="114"/>
      <c r="N814" s="114"/>
      <c r="O814" s="114"/>
    </row>
    <row r="815" spans="1:15" s="103" customFormat="1" x14ac:dyDescent="0.25">
      <c r="A815" s="294" t="s">
        <v>95</v>
      </c>
      <c r="B815" s="509" t="s">
        <v>7</v>
      </c>
      <c r="C815" s="297" t="s">
        <v>21</v>
      </c>
      <c r="D815" s="409" t="s">
        <v>501</v>
      </c>
      <c r="E815" s="552">
        <v>300</v>
      </c>
      <c r="F815" s="575">
        <f>F816</f>
        <v>0</v>
      </c>
      <c r="G815" s="441"/>
      <c r="H815" s="460">
        <f>H816</f>
        <v>220</v>
      </c>
      <c r="I815" s="583">
        <f>I816</f>
        <v>0</v>
      </c>
      <c r="J815" s="575">
        <f>J816</f>
        <v>220</v>
      </c>
      <c r="K815" s="441"/>
      <c r="L815" s="114"/>
      <c r="N815" s="114"/>
      <c r="O815" s="114"/>
    </row>
    <row r="816" spans="1:15" s="103" customFormat="1" x14ac:dyDescent="0.25">
      <c r="A816" s="294" t="s">
        <v>39</v>
      </c>
      <c r="B816" s="509" t="s">
        <v>7</v>
      </c>
      <c r="C816" s="297" t="s">
        <v>21</v>
      </c>
      <c r="D816" s="409" t="s">
        <v>501</v>
      </c>
      <c r="E816" s="552">
        <v>320</v>
      </c>
      <c r="F816" s="575">
        <f>'ведом. 2025-2027'!AD415</f>
        <v>0</v>
      </c>
      <c r="G816" s="441"/>
      <c r="H816" s="460">
        <f>'ведом. 2025-2027'!AE415</f>
        <v>220</v>
      </c>
      <c r="I816" s="583"/>
      <c r="J816" s="575">
        <f>'ведом. 2025-2027'!AF415</f>
        <v>220</v>
      </c>
      <c r="K816" s="441"/>
      <c r="L816" s="114"/>
      <c r="N816" s="114"/>
      <c r="O816" s="114"/>
    </row>
    <row r="817" spans="1:15" s="103" customFormat="1" ht="31.5" x14ac:dyDescent="0.25">
      <c r="A817" s="252" t="s">
        <v>59</v>
      </c>
      <c r="B817" s="132" t="s">
        <v>7</v>
      </c>
      <c r="C817" s="331" t="s">
        <v>21</v>
      </c>
      <c r="D817" s="116" t="s">
        <v>501</v>
      </c>
      <c r="E817" s="334">
        <v>600</v>
      </c>
      <c r="F817" s="575">
        <f t="shared" ref="F817:K817" si="165">F818</f>
        <v>2843.5999999999995</v>
      </c>
      <c r="G817" s="441">
        <f t="shared" si="165"/>
        <v>1657.8</v>
      </c>
      <c r="H817" s="460">
        <f t="shared" si="165"/>
        <v>2144</v>
      </c>
      <c r="I817" s="583">
        <f t="shared" si="165"/>
        <v>729</v>
      </c>
      <c r="J817" s="575">
        <f t="shared" si="165"/>
        <v>2171</v>
      </c>
      <c r="K817" s="441">
        <f t="shared" si="165"/>
        <v>742</v>
      </c>
      <c r="L817" s="114"/>
      <c r="N817" s="114"/>
      <c r="O817" s="114"/>
    </row>
    <row r="818" spans="1:15" s="103" customFormat="1" x14ac:dyDescent="0.25">
      <c r="A818" s="252" t="s">
        <v>60</v>
      </c>
      <c r="B818" s="132" t="s">
        <v>7</v>
      </c>
      <c r="C818" s="331" t="s">
        <v>21</v>
      </c>
      <c r="D818" s="116" t="s">
        <v>501</v>
      </c>
      <c r="E818" s="334">
        <v>610</v>
      </c>
      <c r="F818" s="575">
        <f>'ведом. 2025-2027'!AD856</f>
        <v>2843.5999999999995</v>
      </c>
      <c r="G818" s="441">
        <f>1198.6+0.6+268.2+190.4</f>
        <v>1657.8</v>
      </c>
      <c r="H818" s="460">
        <f>'ведом. 2025-2027'!AE856</f>
        <v>2144</v>
      </c>
      <c r="I818" s="583">
        <v>729</v>
      </c>
      <c r="J818" s="575">
        <f>'ведом. 2025-2027'!AF856</f>
        <v>2171</v>
      </c>
      <c r="K818" s="441">
        <v>742</v>
      </c>
      <c r="L818" s="114"/>
      <c r="N818" s="114"/>
      <c r="O818" s="114"/>
    </row>
    <row r="819" spans="1:15" s="103" customFormat="1" ht="31.5" x14ac:dyDescent="0.25">
      <c r="A819" s="252" t="s">
        <v>316</v>
      </c>
      <c r="B819" s="132" t="s">
        <v>7</v>
      </c>
      <c r="C819" s="331" t="s">
        <v>21</v>
      </c>
      <c r="D819" s="116" t="s">
        <v>502</v>
      </c>
      <c r="E819" s="334"/>
      <c r="F819" s="575">
        <f t="shared" ref="F819:K820" si="166">F820</f>
        <v>1622.4</v>
      </c>
      <c r="G819" s="441">
        <f t="shared" si="166"/>
        <v>945.80000000000007</v>
      </c>
      <c r="H819" s="460">
        <f t="shared" si="166"/>
        <v>2070</v>
      </c>
      <c r="I819" s="583">
        <f t="shared" si="166"/>
        <v>850</v>
      </c>
      <c r="J819" s="575">
        <f t="shared" si="166"/>
        <v>2080</v>
      </c>
      <c r="K819" s="441">
        <f t="shared" si="166"/>
        <v>850</v>
      </c>
      <c r="L819" s="114"/>
      <c r="N819" s="114"/>
      <c r="O819" s="114"/>
    </row>
    <row r="820" spans="1:15" s="103" customFormat="1" ht="31.5" x14ac:dyDescent="0.25">
      <c r="A820" s="252" t="s">
        <v>59</v>
      </c>
      <c r="B820" s="132" t="s">
        <v>7</v>
      </c>
      <c r="C820" s="331" t="s">
        <v>21</v>
      </c>
      <c r="D820" s="116" t="s">
        <v>502</v>
      </c>
      <c r="E820" s="205">
        <v>600</v>
      </c>
      <c r="F820" s="575">
        <f t="shared" si="166"/>
        <v>1622.4</v>
      </c>
      <c r="G820" s="441">
        <f t="shared" si="166"/>
        <v>945.80000000000007</v>
      </c>
      <c r="H820" s="460">
        <f t="shared" si="166"/>
        <v>2070</v>
      </c>
      <c r="I820" s="583">
        <f t="shared" si="166"/>
        <v>850</v>
      </c>
      <c r="J820" s="575">
        <f t="shared" si="166"/>
        <v>2080</v>
      </c>
      <c r="K820" s="441">
        <f t="shared" si="166"/>
        <v>850</v>
      </c>
      <c r="L820" s="114"/>
      <c r="N820" s="114"/>
      <c r="O820" s="114"/>
    </row>
    <row r="821" spans="1:15" s="103" customFormat="1" ht="17.25" thickBot="1" x14ac:dyDescent="0.3">
      <c r="A821" s="617" t="s">
        <v>60</v>
      </c>
      <c r="B821" s="505" t="s">
        <v>7</v>
      </c>
      <c r="C821" s="506" t="s">
        <v>21</v>
      </c>
      <c r="D821" s="629" t="s">
        <v>502</v>
      </c>
      <c r="E821" s="641">
        <v>610</v>
      </c>
      <c r="F821" s="612">
        <f>'ведом. 2025-2027'!AD859</f>
        <v>1622.4</v>
      </c>
      <c r="G821" s="613">
        <f>800+336.8-0.6-190.4</f>
        <v>945.80000000000007</v>
      </c>
      <c r="H821" s="614">
        <f>'ведом. 2025-2027'!AE859</f>
        <v>2070</v>
      </c>
      <c r="I821" s="615">
        <v>850</v>
      </c>
      <c r="J821" s="612">
        <f>'ведом. 2025-2027'!AF859</f>
        <v>2080</v>
      </c>
      <c r="K821" s="613">
        <v>850</v>
      </c>
      <c r="L821" s="114"/>
      <c r="N821" s="114"/>
      <c r="O821" s="114"/>
    </row>
    <row r="822" spans="1:15" s="103" customFormat="1" ht="17.25" thickBot="1" x14ac:dyDescent="0.3">
      <c r="A822" s="258" t="s">
        <v>20</v>
      </c>
      <c r="B822" s="616" t="s">
        <v>15</v>
      </c>
      <c r="C822" s="600"/>
      <c r="D822" s="229"/>
      <c r="E822" s="633"/>
      <c r="F822" s="603">
        <f t="shared" ref="F822:K822" si="167">F823</f>
        <v>222840.3</v>
      </c>
      <c r="G822" s="604">
        <f t="shared" si="167"/>
        <v>8598.1</v>
      </c>
      <c r="H822" s="605">
        <f t="shared" si="167"/>
        <v>168096</v>
      </c>
      <c r="I822" s="606">
        <f t="shared" si="167"/>
        <v>659.7</v>
      </c>
      <c r="J822" s="603">
        <f t="shared" si="167"/>
        <v>153265.90000000002</v>
      </c>
      <c r="K822" s="604">
        <f t="shared" si="167"/>
        <v>310.60000000000002</v>
      </c>
      <c r="L822" s="114"/>
      <c r="N822" s="114"/>
      <c r="O822" s="114"/>
    </row>
    <row r="823" spans="1:15" s="103" customFormat="1" x14ac:dyDescent="0.25">
      <c r="A823" s="592" t="s">
        <v>63</v>
      </c>
      <c r="B823" s="507" t="s">
        <v>15</v>
      </c>
      <c r="C823" s="508" t="s">
        <v>28</v>
      </c>
      <c r="D823" s="593"/>
      <c r="E823" s="630"/>
      <c r="F823" s="595">
        <f t="shared" ref="F823:K823" si="168">F824+F882</f>
        <v>222840.3</v>
      </c>
      <c r="G823" s="596">
        <f t="shared" si="168"/>
        <v>8598.1</v>
      </c>
      <c r="H823" s="597">
        <f t="shared" si="168"/>
        <v>168096</v>
      </c>
      <c r="I823" s="598">
        <f t="shared" si="168"/>
        <v>659.7</v>
      </c>
      <c r="J823" s="595">
        <f t="shared" si="168"/>
        <v>153265.90000000002</v>
      </c>
      <c r="K823" s="596">
        <f t="shared" si="168"/>
        <v>310.60000000000002</v>
      </c>
      <c r="L823" s="114"/>
      <c r="N823" s="114"/>
      <c r="O823" s="114"/>
    </row>
    <row r="824" spans="1:15" s="103" customFormat="1" x14ac:dyDescent="0.25">
      <c r="A824" s="182" t="s">
        <v>562</v>
      </c>
      <c r="B824" s="132" t="s">
        <v>15</v>
      </c>
      <c r="C824" s="331" t="s">
        <v>28</v>
      </c>
      <c r="D824" s="116" t="s">
        <v>112</v>
      </c>
      <c r="E824" s="205"/>
      <c r="F824" s="575">
        <f t="shared" ref="F824:K824" si="169">F830+F839+F854+F825</f>
        <v>204203</v>
      </c>
      <c r="G824" s="441">
        <f t="shared" si="169"/>
        <v>8598.1</v>
      </c>
      <c r="H824" s="460">
        <f t="shared" si="169"/>
        <v>146624</v>
      </c>
      <c r="I824" s="583">
        <f t="shared" si="169"/>
        <v>659.7</v>
      </c>
      <c r="J824" s="575">
        <f t="shared" si="169"/>
        <v>130913.90000000001</v>
      </c>
      <c r="K824" s="441">
        <f t="shared" si="169"/>
        <v>310.60000000000002</v>
      </c>
      <c r="L824" s="114"/>
      <c r="N824" s="114"/>
      <c r="O824" s="114"/>
    </row>
    <row r="825" spans="1:15" s="103" customFormat="1" ht="47.25" x14ac:dyDescent="0.25">
      <c r="A825" s="182" t="s">
        <v>858</v>
      </c>
      <c r="B825" s="509" t="s">
        <v>15</v>
      </c>
      <c r="C825" s="297" t="s">
        <v>28</v>
      </c>
      <c r="D825" s="409" t="s">
        <v>859</v>
      </c>
      <c r="E825" s="551"/>
      <c r="F825" s="575">
        <f>F826</f>
        <v>570</v>
      </c>
      <c r="G825" s="441"/>
      <c r="H825" s="460">
        <f t="shared" ref="H825:J828" si="170">H826</f>
        <v>0</v>
      </c>
      <c r="I825" s="583"/>
      <c r="J825" s="575">
        <f t="shared" si="170"/>
        <v>0</v>
      </c>
      <c r="K825" s="441"/>
      <c r="L825" s="114"/>
      <c r="N825" s="114"/>
      <c r="O825" s="114"/>
    </row>
    <row r="826" spans="1:15" s="103" customFormat="1" ht="31.5" x14ac:dyDescent="0.25">
      <c r="A826" s="182" t="s">
        <v>856</v>
      </c>
      <c r="B826" s="509" t="s">
        <v>15</v>
      </c>
      <c r="C826" s="297" t="s">
        <v>28</v>
      </c>
      <c r="D826" s="409" t="s">
        <v>860</v>
      </c>
      <c r="E826" s="551"/>
      <c r="F826" s="575">
        <f>F827</f>
        <v>570</v>
      </c>
      <c r="G826" s="441"/>
      <c r="H826" s="460">
        <f t="shared" si="170"/>
        <v>0</v>
      </c>
      <c r="I826" s="583"/>
      <c r="J826" s="575">
        <f t="shared" si="170"/>
        <v>0</v>
      </c>
      <c r="K826" s="441"/>
      <c r="L826" s="114"/>
      <c r="N826" s="114"/>
      <c r="O826" s="114"/>
    </row>
    <row r="827" spans="1:15" s="103" customFormat="1" ht="31.5" x14ac:dyDescent="0.25">
      <c r="A827" s="182" t="s">
        <v>857</v>
      </c>
      <c r="B827" s="509" t="s">
        <v>15</v>
      </c>
      <c r="C827" s="297" t="s">
        <v>28</v>
      </c>
      <c r="D827" s="409" t="s">
        <v>861</v>
      </c>
      <c r="E827" s="551"/>
      <c r="F827" s="575">
        <f>F828</f>
        <v>570</v>
      </c>
      <c r="G827" s="441"/>
      <c r="H827" s="460">
        <f t="shared" si="170"/>
        <v>0</v>
      </c>
      <c r="I827" s="583"/>
      <c r="J827" s="575">
        <f t="shared" si="170"/>
        <v>0</v>
      </c>
      <c r="K827" s="441"/>
      <c r="L827" s="114"/>
      <c r="N827" s="114"/>
      <c r="O827" s="114"/>
    </row>
    <row r="828" spans="1:15" s="103" customFormat="1" ht="31.5" x14ac:dyDescent="0.25">
      <c r="A828" s="182" t="s">
        <v>59</v>
      </c>
      <c r="B828" s="509" t="s">
        <v>15</v>
      </c>
      <c r="C828" s="297" t="s">
        <v>28</v>
      </c>
      <c r="D828" s="409" t="s">
        <v>861</v>
      </c>
      <c r="E828" s="551">
        <v>600</v>
      </c>
      <c r="F828" s="575">
        <f>F829</f>
        <v>570</v>
      </c>
      <c r="G828" s="441"/>
      <c r="H828" s="460">
        <f t="shared" si="170"/>
        <v>0</v>
      </c>
      <c r="I828" s="583"/>
      <c r="J828" s="575">
        <f t="shared" si="170"/>
        <v>0</v>
      </c>
      <c r="K828" s="441"/>
      <c r="L828" s="114"/>
      <c r="N828" s="114"/>
      <c r="O828" s="114"/>
    </row>
    <row r="829" spans="1:15" s="103" customFormat="1" x14ac:dyDescent="0.25">
      <c r="A829" s="182" t="s">
        <v>60</v>
      </c>
      <c r="B829" s="509" t="s">
        <v>15</v>
      </c>
      <c r="C829" s="297" t="s">
        <v>28</v>
      </c>
      <c r="D829" s="409" t="s">
        <v>861</v>
      </c>
      <c r="E829" s="551">
        <v>610</v>
      </c>
      <c r="F829" s="575">
        <f>'ведом. 2025-2027'!AD423</f>
        <v>570</v>
      </c>
      <c r="G829" s="441"/>
      <c r="H829" s="460">
        <f>'ведом. 2025-2027'!AE423</f>
        <v>0</v>
      </c>
      <c r="I829" s="583"/>
      <c r="J829" s="575">
        <f>'ведом. 2025-2027'!AF423</f>
        <v>0</v>
      </c>
      <c r="K829" s="441"/>
      <c r="L829" s="114"/>
      <c r="N829" s="114"/>
      <c r="O829" s="114"/>
    </row>
    <row r="830" spans="1:15" s="103" customFormat="1" x14ac:dyDescent="0.25">
      <c r="A830" s="182" t="s">
        <v>485</v>
      </c>
      <c r="B830" s="132" t="s">
        <v>15</v>
      </c>
      <c r="C830" s="331" t="s">
        <v>28</v>
      </c>
      <c r="D830" s="116" t="s">
        <v>311</v>
      </c>
      <c r="E830" s="205"/>
      <c r="F830" s="575">
        <f>F831+F835</f>
        <v>30948.6</v>
      </c>
      <c r="G830" s="441"/>
      <c r="H830" s="460">
        <f>H831+H835</f>
        <v>29355.8</v>
      </c>
      <c r="I830" s="583"/>
      <c r="J830" s="575">
        <f>J831+J835</f>
        <v>29511.7</v>
      </c>
      <c r="K830" s="441"/>
      <c r="L830" s="114"/>
      <c r="N830" s="114"/>
      <c r="O830" s="114"/>
    </row>
    <row r="831" spans="1:15" s="103" customFormat="1" x14ac:dyDescent="0.25">
      <c r="A831" s="182" t="s">
        <v>312</v>
      </c>
      <c r="B831" s="132" t="s">
        <v>15</v>
      </c>
      <c r="C831" s="331" t="s">
        <v>28</v>
      </c>
      <c r="D831" s="116" t="s">
        <v>313</v>
      </c>
      <c r="E831" s="205"/>
      <c r="F831" s="575">
        <f>F832</f>
        <v>30548.6</v>
      </c>
      <c r="G831" s="441"/>
      <c r="H831" s="460">
        <f>H832</f>
        <v>29355.8</v>
      </c>
      <c r="I831" s="583"/>
      <c r="J831" s="575">
        <f>J832</f>
        <v>29511.7</v>
      </c>
      <c r="K831" s="441"/>
      <c r="L831" s="114"/>
      <c r="N831" s="114"/>
      <c r="O831" s="114"/>
    </row>
    <row r="832" spans="1:15" s="103" customFormat="1" ht="31.5" x14ac:dyDescent="0.25">
      <c r="A832" s="252" t="s">
        <v>250</v>
      </c>
      <c r="B832" s="132" t="s">
        <v>15</v>
      </c>
      <c r="C832" s="331" t="s">
        <v>28</v>
      </c>
      <c r="D832" s="116" t="s">
        <v>251</v>
      </c>
      <c r="E832" s="205"/>
      <c r="F832" s="575">
        <f>F833</f>
        <v>30548.6</v>
      </c>
      <c r="G832" s="441"/>
      <c r="H832" s="460">
        <f>H833</f>
        <v>29355.8</v>
      </c>
      <c r="I832" s="583"/>
      <c r="J832" s="575">
        <f>J833</f>
        <v>29511.7</v>
      </c>
      <c r="K832" s="441"/>
      <c r="L832" s="114"/>
      <c r="N832" s="114"/>
      <c r="O832" s="114"/>
    </row>
    <row r="833" spans="1:15" s="103" customFormat="1" ht="31.5" x14ac:dyDescent="0.25">
      <c r="A833" s="252" t="s">
        <v>59</v>
      </c>
      <c r="B833" s="132" t="s">
        <v>15</v>
      </c>
      <c r="C833" s="331" t="s">
        <v>28</v>
      </c>
      <c r="D833" s="116" t="s">
        <v>251</v>
      </c>
      <c r="E833" s="334">
        <v>600</v>
      </c>
      <c r="F833" s="575">
        <f>F834</f>
        <v>30548.6</v>
      </c>
      <c r="G833" s="441"/>
      <c r="H833" s="460">
        <f>H834</f>
        <v>29355.8</v>
      </c>
      <c r="I833" s="583"/>
      <c r="J833" s="575">
        <f>J834</f>
        <v>29511.7</v>
      </c>
      <c r="K833" s="441"/>
      <c r="L833" s="114"/>
      <c r="N833" s="114"/>
      <c r="O833" s="114"/>
    </row>
    <row r="834" spans="1:15" s="103" customFormat="1" x14ac:dyDescent="0.25">
      <c r="A834" s="252" t="s">
        <v>60</v>
      </c>
      <c r="B834" s="132" t="s">
        <v>15</v>
      </c>
      <c r="C834" s="331" t="s">
        <v>28</v>
      </c>
      <c r="D834" s="116" t="s">
        <v>251</v>
      </c>
      <c r="E834" s="334">
        <v>610</v>
      </c>
      <c r="F834" s="575">
        <f>'ведом. 2025-2027'!AD428</f>
        <v>30548.6</v>
      </c>
      <c r="G834" s="441"/>
      <c r="H834" s="460">
        <f>'ведом. 2025-2027'!AE428</f>
        <v>29355.8</v>
      </c>
      <c r="I834" s="583"/>
      <c r="J834" s="575">
        <f>'ведом. 2025-2027'!AF428</f>
        <v>29511.7</v>
      </c>
      <c r="K834" s="441"/>
      <c r="L834" s="114"/>
      <c r="N834" s="114"/>
      <c r="O834" s="114"/>
    </row>
    <row r="835" spans="1:15" s="103" customFormat="1" ht="31.5" x14ac:dyDescent="0.25">
      <c r="A835" s="294" t="s">
        <v>785</v>
      </c>
      <c r="B835" s="509" t="s">
        <v>15</v>
      </c>
      <c r="C835" s="297" t="s">
        <v>28</v>
      </c>
      <c r="D835" s="409" t="s">
        <v>788</v>
      </c>
      <c r="E835" s="551"/>
      <c r="F835" s="575">
        <f>F836</f>
        <v>400</v>
      </c>
      <c r="G835" s="441"/>
      <c r="H835" s="460">
        <f t="shared" ref="H835:J837" si="171">H836</f>
        <v>0</v>
      </c>
      <c r="I835" s="583"/>
      <c r="J835" s="575">
        <f t="shared" si="171"/>
        <v>0</v>
      </c>
      <c r="K835" s="441"/>
      <c r="L835" s="114"/>
      <c r="N835" s="114"/>
      <c r="O835" s="114"/>
    </row>
    <row r="836" spans="1:15" s="103" customFormat="1" x14ac:dyDescent="0.25">
      <c r="A836" s="294" t="s">
        <v>786</v>
      </c>
      <c r="B836" s="509" t="s">
        <v>15</v>
      </c>
      <c r="C836" s="297" t="s">
        <v>28</v>
      </c>
      <c r="D836" s="409" t="s">
        <v>787</v>
      </c>
      <c r="E836" s="562"/>
      <c r="F836" s="575">
        <f>F837</f>
        <v>400</v>
      </c>
      <c r="G836" s="441"/>
      <c r="H836" s="460">
        <f t="shared" si="171"/>
        <v>0</v>
      </c>
      <c r="I836" s="583"/>
      <c r="J836" s="575">
        <f t="shared" si="171"/>
        <v>0</v>
      </c>
      <c r="K836" s="441"/>
      <c r="L836" s="114"/>
      <c r="N836" s="114"/>
      <c r="O836" s="114"/>
    </row>
    <row r="837" spans="1:15" s="103" customFormat="1" ht="31.5" x14ac:dyDescent="0.25">
      <c r="A837" s="294" t="s">
        <v>59</v>
      </c>
      <c r="B837" s="509" t="s">
        <v>15</v>
      </c>
      <c r="C837" s="297" t="s">
        <v>28</v>
      </c>
      <c r="D837" s="409" t="s">
        <v>787</v>
      </c>
      <c r="E837" s="552">
        <v>600</v>
      </c>
      <c r="F837" s="575">
        <f>F838</f>
        <v>400</v>
      </c>
      <c r="G837" s="441"/>
      <c r="H837" s="460">
        <f t="shared" si="171"/>
        <v>0</v>
      </c>
      <c r="I837" s="583"/>
      <c r="J837" s="575">
        <f t="shared" si="171"/>
        <v>0</v>
      </c>
      <c r="K837" s="441"/>
      <c r="L837" s="114"/>
      <c r="N837" s="114"/>
      <c r="O837" s="114"/>
    </row>
    <row r="838" spans="1:15" s="103" customFormat="1" x14ac:dyDescent="0.25">
      <c r="A838" s="294" t="s">
        <v>60</v>
      </c>
      <c r="B838" s="509" t="s">
        <v>15</v>
      </c>
      <c r="C838" s="297" t="s">
        <v>28</v>
      </c>
      <c r="D838" s="409" t="s">
        <v>787</v>
      </c>
      <c r="E838" s="552">
        <v>610</v>
      </c>
      <c r="F838" s="575">
        <f>'ведом. 2025-2027'!AD432</f>
        <v>400</v>
      </c>
      <c r="G838" s="441"/>
      <c r="H838" s="460">
        <f>'ведом. 2025-2027'!AE432</f>
        <v>0</v>
      </c>
      <c r="I838" s="583"/>
      <c r="J838" s="575">
        <f>'ведом. 2025-2027'!AF432</f>
        <v>0</v>
      </c>
      <c r="K838" s="441"/>
      <c r="L838" s="114"/>
      <c r="N838" s="114"/>
      <c r="O838" s="114"/>
    </row>
    <row r="839" spans="1:15" s="103" customFormat="1" x14ac:dyDescent="0.25">
      <c r="A839" s="196" t="s">
        <v>493</v>
      </c>
      <c r="B839" s="132" t="s">
        <v>15</v>
      </c>
      <c r="C839" s="331" t="s">
        <v>28</v>
      </c>
      <c r="D839" s="116" t="s">
        <v>138</v>
      </c>
      <c r="E839" s="562"/>
      <c r="F839" s="575">
        <f t="shared" ref="F839:K839" si="172">F840+F850</f>
        <v>39268.299999999996</v>
      </c>
      <c r="G839" s="441">
        <f t="shared" si="172"/>
        <v>307.60000000000002</v>
      </c>
      <c r="H839" s="460">
        <f t="shared" si="172"/>
        <v>37183.199999999997</v>
      </c>
      <c r="I839" s="583">
        <f t="shared" si="172"/>
        <v>314.2</v>
      </c>
      <c r="J839" s="575">
        <f t="shared" si="172"/>
        <v>37369.700000000004</v>
      </c>
      <c r="K839" s="441">
        <f t="shared" si="172"/>
        <v>310.60000000000002</v>
      </c>
      <c r="L839" s="114"/>
      <c r="N839" s="114"/>
      <c r="O839" s="114"/>
    </row>
    <row r="840" spans="1:15" s="103" customFormat="1" ht="31.5" x14ac:dyDescent="0.25">
      <c r="A840" s="182" t="s">
        <v>252</v>
      </c>
      <c r="B840" s="132" t="s">
        <v>15</v>
      </c>
      <c r="C840" s="331" t="s">
        <v>28</v>
      </c>
      <c r="D840" s="116" t="s">
        <v>139</v>
      </c>
      <c r="E840" s="334"/>
      <c r="F840" s="575">
        <f t="shared" ref="F840:K840" si="173">F841+F844+F847</f>
        <v>38268.299999999996</v>
      </c>
      <c r="G840" s="441">
        <f t="shared" si="173"/>
        <v>307.60000000000002</v>
      </c>
      <c r="H840" s="460">
        <f t="shared" si="173"/>
        <v>37183.199999999997</v>
      </c>
      <c r="I840" s="583">
        <f t="shared" si="173"/>
        <v>314.2</v>
      </c>
      <c r="J840" s="575">
        <f t="shared" si="173"/>
        <v>37369.700000000004</v>
      </c>
      <c r="K840" s="441">
        <f t="shared" si="173"/>
        <v>310.60000000000002</v>
      </c>
      <c r="L840" s="114"/>
      <c r="N840" s="114"/>
      <c r="O840" s="114"/>
    </row>
    <row r="841" spans="1:15" s="103" customFormat="1" ht="37.5" customHeight="1" x14ac:dyDescent="0.25">
      <c r="A841" s="252" t="s">
        <v>733</v>
      </c>
      <c r="B841" s="132" t="s">
        <v>15</v>
      </c>
      <c r="C841" s="331" t="s">
        <v>28</v>
      </c>
      <c r="D841" s="116" t="s">
        <v>253</v>
      </c>
      <c r="E841" s="334"/>
      <c r="F841" s="575">
        <f>F842</f>
        <v>1000</v>
      </c>
      <c r="G841" s="441"/>
      <c r="H841" s="460">
        <f>H842</f>
        <v>1000</v>
      </c>
      <c r="I841" s="583"/>
      <c r="J841" s="575">
        <f>J842</f>
        <v>1000</v>
      </c>
      <c r="K841" s="441"/>
      <c r="L841" s="114"/>
      <c r="N841" s="114"/>
      <c r="O841" s="114"/>
    </row>
    <row r="842" spans="1:15" s="103" customFormat="1" ht="31.5" x14ac:dyDescent="0.25">
      <c r="A842" s="252" t="s">
        <v>59</v>
      </c>
      <c r="B842" s="132" t="s">
        <v>15</v>
      </c>
      <c r="C842" s="331" t="s">
        <v>28</v>
      </c>
      <c r="D842" s="116" t="s">
        <v>253</v>
      </c>
      <c r="E842" s="334">
        <v>600</v>
      </c>
      <c r="F842" s="575">
        <f>F843</f>
        <v>1000</v>
      </c>
      <c r="G842" s="441"/>
      <c r="H842" s="460">
        <f>H843</f>
        <v>1000</v>
      </c>
      <c r="I842" s="583"/>
      <c r="J842" s="575">
        <f>J843</f>
        <v>1000</v>
      </c>
      <c r="K842" s="441"/>
      <c r="L842" s="114"/>
      <c r="N842" s="114"/>
      <c r="O842" s="114"/>
    </row>
    <row r="843" spans="1:15" s="103" customFormat="1" x14ac:dyDescent="0.25">
      <c r="A843" s="252" t="s">
        <v>60</v>
      </c>
      <c r="B843" s="132" t="s">
        <v>15</v>
      </c>
      <c r="C843" s="331" t="s">
        <v>28</v>
      </c>
      <c r="D843" s="116" t="s">
        <v>253</v>
      </c>
      <c r="E843" s="334">
        <v>610</v>
      </c>
      <c r="F843" s="575">
        <f>'ведом. 2025-2027'!AD437</f>
        <v>1000</v>
      </c>
      <c r="G843" s="441"/>
      <c r="H843" s="460">
        <f>'ведом. 2025-2027'!AE437</f>
        <v>1000</v>
      </c>
      <c r="I843" s="583"/>
      <c r="J843" s="575">
        <f>'ведом. 2025-2027'!AF437</f>
        <v>1000</v>
      </c>
      <c r="K843" s="441"/>
      <c r="L843" s="114"/>
      <c r="N843" s="114"/>
      <c r="O843" s="114"/>
    </row>
    <row r="844" spans="1:15" s="103" customFormat="1" ht="31.5" x14ac:dyDescent="0.25">
      <c r="A844" s="252" t="s">
        <v>254</v>
      </c>
      <c r="B844" s="132" t="s">
        <v>15</v>
      </c>
      <c r="C844" s="331" t="s">
        <v>28</v>
      </c>
      <c r="D844" s="116" t="s">
        <v>255</v>
      </c>
      <c r="E844" s="334"/>
      <c r="F844" s="575">
        <f>F845</f>
        <v>36893.599999999999</v>
      </c>
      <c r="G844" s="441"/>
      <c r="H844" s="460">
        <f>H845</f>
        <v>35800.5</v>
      </c>
      <c r="I844" s="583"/>
      <c r="J844" s="575">
        <f>J845</f>
        <v>35991.4</v>
      </c>
      <c r="K844" s="441"/>
      <c r="L844" s="114"/>
      <c r="N844" s="114"/>
      <c r="O844" s="114"/>
    </row>
    <row r="845" spans="1:15" s="103" customFormat="1" ht="31.5" x14ac:dyDescent="0.25">
      <c r="A845" s="252" t="s">
        <v>59</v>
      </c>
      <c r="B845" s="132" t="s">
        <v>15</v>
      </c>
      <c r="C845" s="331" t="s">
        <v>28</v>
      </c>
      <c r="D845" s="116" t="s">
        <v>255</v>
      </c>
      <c r="E845" s="334">
        <v>600</v>
      </c>
      <c r="F845" s="575">
        <f>F846</f>
        <v>36893.599999999999</v>
      </c>
      <c r="G845" s="441"/>
      <c r="H845" s="460">
        <f>H846</f>
        <v>35800.5</v>
      </c>
      <c r="I845" s="583"/>
      <c r="J845" s="575">
        <f>J846</f>
        <v>35991.4</v>
      </c>
      <c r="K845" s="441"/>
      <c r="L845" s="114"/>
      <c r="N845" s="114"/>
      <c r="O845" s="114"/>
    </row>
    <row r="846" spans="1:15" s="103" customFormat="1" x14ac:dyDescent="0.25">
      <c r="A846" s="252" t="s">
        <v>60</v>
      </c>
      <c r="B846" s="132" t="s">
        <v>15</v>
      </c>
      <c r="C846" s="331" t="s">
        <v>28</v>
      </c>
      <c r="D846" s="116" t="s">
        <v>255</v>
      </c>
      <c r="E846" s="334">
        <v>610</v>
      </c>
      <c r="F846" s="575">
        <f>'ведом. 2025-2027'!AD440</f>
        <v>36893.599999999999</v>
      </c>
      <c r="G846" s="441"/>
      <c r="H846" s="460">
        <f>'ведом. 2025-2027'!AE440</f>
        <v>35800.5</v>
      </c>
      <c r="I846" s="583"/>
      <c r="J846" s="575">
        <f>'ведом. 2025-2027'!AF440</f>
        <v>35991.4</v>
      </c>
      <c r="K846" s="441"/>
      <c r="L846" s="114"/>
      <c r="N846" s="114"/>
      <c r="O846" s="114"/>
    </row>
    <row r="847" spans="1:15" s="103" customFormat="1" ht="31.5" x14ac:dyDescent="0.25">
      <c r="A847" s="252" t="s">
        <v>496</v>
      </c>
      <c r="B847" s="132" t="s">
        <v>15</v>
      </c>
      <c r="C847" s="331" t="s">
        <v>28</v>
      </c>
      <c r="D847" s="116" t="s">
        <v>394</v>
      </c>
      <c r="E847" s="334"/>
      <c r="F847" s="575">
        <f t="shared" ref="F847:K848" si="174">F848</f>
        <v>374.70000000000005</v>
      </c>
      <c r="G847" s="441">
        <f t="shared" si="174"/>
        <v>307.60000000000002</v>
      </c>
      <c r="H847" s="460">
        <f t="shared" si="174"/>
        <v>382.7</v>
      </c>
      <c r="I847" s="583">
        <f t="shared" si="174"/>
        <v>314.2</v>
      </c>
      <c r="J847" s="575">
        <f t="shared" si="174"/>
        <v>378.3</v>
      </c>
      <c r="K847" s="441">
        <f t="shared" si="174"/>
        <v>310.60000000000002</v>
      </c>
      <c r="L847" s="114"/>
      <c r="N847" s="114"/>
      <c r="O847" s="114"/>
    </row>
    <row r="848" spans="1:15" s="103" customFormat="1" ht="31.5" x14ac:dyDescent="0.25">
      <c r="A848" s="252" t="s">
        <v>59</v>
      </c>
      <c r="B848" s="132" t="s">
        <v>15</v>
      </c>
      <c r="C848" s="331" t="s">
        <v>28</v>
      </c>
      <c r="D848" s="116" t="s">
        <v>394</v>
      </c>
      <c r="E848" s="334">
        <v>600</v>
      </c>
      <c r="F848" s="575">
        <f t="shared" si="174"/>
        <v>374.70000000000005</v>
      </c>
      <c r="G848" s="441">
        <f t="shared" si="174"/>
        <v>307.60000000000002</v>
      </c>
      <c r="H848" s="460">
        <f t="shared" si="174"/>
        <v>382.7</v>
      </c>
      <c r="I848" s="583">
        <f t="shared" si="174"/>
        <v>314.2</v>
      </c>
      <c r="J848" s="575">
        <f t="shared" si="174"/>
        <v>378.3</v>
      </c>
      <c r="K848" s="441">
        <f t="shared" si="174"/>
        <v>310.60000000000002</v>
      </c>
      <c r="L848" s="114"/>
      <c r="N848" s="114"/>
      <c r="O848" s="114"/>
    </row>
    <row r="849" spans="1:15" s="103" customFormat="1" x14ac:dyDescent="0.25">
      <c r="A849" s="252" t="s">
        <v>60</v>
      </c>
      <c r="B849" s="132" t="s">
        <v>15</v>
      </c>
      <c r="C849" s="331" t="s">
        <v>28</v>
      </c>
      <c r="D849" s="116" t="s">
        <v>394</v>
      </c>
      <c r="E849" s="334">
        <v>610</v>
      </c>
      <c r="F849" s="575">
        <f>'ведом. 2025-2027'!AD443</f>
        <v>374.70000000000005</v>
      </c>
      <c r="G849" s="441">
        <v>307.60000000000002</v>
      </c>
      <c r="H849" s="460">
        <f>'ведом. 2025-2027'!AE443</f>
        <v>382.7</v>
      </c>
      <c r="I849" s="583">
        <v>314.2</v>
      </c>
      <c r="J849" s="575">
        <f>'ведом. 2025-2027'!AF443</f>
        <v>378.3</v>
      </c>
      <c r="K849" s="441">
        <v>310.60000000000002</v>
      </c>
      <c r="L849" s="114"/>
      <c r="N849" s="114"/>
      <c r="O849" s="114"/>
    </row>
    <row r="850" spans="1:15" s="103" customFormat="1" ht="31.5" x14ac:dyDescent="0.25">
      <c r="A850" s="446" t="s">
        <v>852</v>
      </c>
      <c r="B850" s="509" t="s">
        <v>15</v>
      </c>
      <c r="C850" s="297" t="s">
        <v>28</v>
      </c>
      <c r="D850" s="409" t="s">
        <v>854</v>
      </c>
      <c r="E850" s="552"/>
      <c r="F850" s="575">
        <f>F851</f>
        <v>1000</v>
      </c>
      <c r="G850" s="441"/>
      <c r="H850" s="460">
        <f t="shared" ref="H850:J852" si="175">H851</f>
        <v>0</v>
      </c>
      <c r="I850" s="583"/>
      <c r="J850" s="575">
        <f t="shared" si="175"/>
        <v>0</v>
      </c>
      <c r="K850" s="441"/>
      <c r="L850" s="114"/>
      <c r="N850" s="114"/>
      <c r="O850" s="114"/>
    </row>
    <row r="851" spans="1:15" s="103" customFormat="1" x14ac:dyDescent="0.25">
      <c r="A851" s="446" t="s">
        <v>853</v>
      </c>
      <c r="B851" s="509" t="s">
        <v>15</v>
      </c>
      <c r="C851" s="297" t="s">
        <v>28</v>
      </c>
      <c r="D851" s="409" t="s">
        <v>855</v>
      </c>
      <c r="E851" s="552"/>
      <c r="F851" s="575">
        <f>F852</f>
        <v>1000</v>
      </c>
      <c r="G851" s="441"/>
      <c r="H851" s="460">
        <f t="shared" si="175"/>
        <v>0</v>
      </c>
      <c r="I851" s="583"/>
      <c r="J851" s="575">
        <f t="shared" si="175"/>
        <v>0</v>
      </c>
      <c r="K851" s="441"/>
      <c r="L851" s="114"/>
      <c r="N851" s="114"/>
      <c r="O851" s="114"/>
    </row>
    <row r="852" spans="1:15" s="103" customFormat="1" ht="31.5" x14ac:dyDescent="0.25">
      <c r="A852" s="446" t="s">
        <v>59</v>
      </c>
      <c r="B852" s="509" t="s">
        <v>15</v>
      </c>
      <c r="C852" s="297" t="s">
        <v>28</v>
      </c>
      <c r="D852" s="409" t="s">
        <v>855</v>
      </c>
      <c r="E852" s="552">
        <v>600</v>
      </c>
      <c r="F852" s="575">
        <f>F853</f>
        <v>1000</v>
      </c>
      <c r="G852" s="441"/>
      <c r="H852" s="460">
        <f t="shared" si="175"/>
        <v>0</v>
      </c>
      <c r="I852" s="583"/>
      <c r="J852" s="575">
        <f t="shared" si="175"/>
        <v>0</v>
      </c>
      <c r="K852" s="441"/>
      <c r="L852" s="114"/>
      <c r="N852" s="114"/>
      <c r="O852" s="114"/>
    </row>
    <row r="853" spans="1:15" s="103" customFormat="1" x14ac:dyDescent="0.25">
      <c r="A853" s="446" t="s">
        <v>60</v>
      </c>
      <c r="B853" s="509" t="s">
        <v>15</v>
      </c>
      <c r="C853" s="297" t="s">
        <v>28</v>
      </c>
      <c r="D853" s="409" t="s">
        <v>855</v>
      </c>
      <c r="E853" s="552">
        <v>610</v>
      </c>
      <c r="F853" s="575">
        <f>'ведом. 2025-2027'!AD447</f>
        <v>1000</v>
      </c>
      <c r="G853" s="441"/>
      <c r="H853" s="460">
        <f>'ведом. 2025-2027'!AE447</f>
        <v>0</v>
      </c>
      <c r="I853" s="583"/>
      <c r="J853" s="575">
        <f>'ведом. 2025-2027'!AF447</f>
        <v>0</v>
      </c>
      <c r="K853" s="441"/>
      <c r="L853" s="114"/>
      <c r="N853" s="114"/>
      <c r="O853" s="114"/>
    </row>
    <row r="854" spans="1:15" s="103" customFormat="1" ht="31.5" x14ac:dyDescent="0.25">
      <c r="A854" s="182" t="s">
        <v>487</v>
      </c>
      <c r="B854" s="132" t="s">
        <v>15</v>
      </c>
      <c r="C854" s="331" t="s">
        <v>28</v>
      </c>
      <c r="D854" s="116" t="s">
        <v>256</v>
      </c>
      <c r="E854" s="334"/>
      <c r="F854" s="575">
        <f>F855+F865+F875+F872</f>
        <v>133416.1</v>
      </c>
      <c r="G854" s="441">
        <f>G855+G865+G875</f>
        <v>8290.5</v>
      </c>
      <c r="H854" s="460">
        <f>H855+H865+H875</f>
        <v>80085</v>
      </c>
      <c r="I854" s="583">
        <f>I855+I865+I875</f>
        <v>345.5</v>
      </c>
      <c r="J854" s="575">
        <f>J855+J865+J875</f>
        <v>64032.5</v>
      </c>
      <c r="K854" s="441"/>
      <c r="L854" s="114"/>
      <c r="N854" s="114"/>
      <c r="O854" s="114"/>
    </row>
    <row r="855" spans="1:15" s="103" customFormat="1" x14ac:dyDescent="0.25">
      <c r="A855" s="182" t="s">
        <v>348</v>
      </c>
      <c r="B855" s="132" t="s">
        <v>15</v>
      </c>
      <c r="C855" s="331" t="s">
        <v>28</v>
      </c>
      <c r="D855" s="116" t="s">
        <v>488</v>
      </c>
      <c r="E855" s="334"/>
      <c r="F855" s="575">
        <f>F856</f>
        <v>25585</v>
      </c>
      <c r="G855" s="441"/>
      <c r="H855" s="460">
        <f>H856</f>
        <v>130</v>
      </c>
      <c r="I855" s="583"/>
      <c r="J855" s="575">
        <f>J856</f>
        <v>0</v>
      </c>
      <c r="K855" s="441"/>
      <c r="L855" s="114"/>
      <c r="N855" s="114"/>
      <c r="O855" s="114"/>
    </row>
    <row r="856" spans="1:15" s="103" customFormat="1" x14ac:dyDescent="0.25">
      <c r="A856" s="252" t="s">
        <v>257</v>
      </c>
      <c r="B856" s="132" t="s">
        <v>15</v>
      </c>
      <c r="C856" s="331" t="s">
        <v>28</v>
      </c>
      <c r="D856" s="116" t="s">
        <v>547</v>
      </c>
      <c r="E856" s="334"/>
      <c r="F856" s="575">
        <f>F857+F862</f>
        <v>25585</v>
      </c>
      <c r="G856" s="441"/>
      <c r="H856" s="460">
        <f>H857+H862</f>
        <v>130</v>
      </c>
      <c r="I856" s="583"/>
      <c r="J856" s="575">
        <f>J857+J862</f>
        <v>0</v>
      </c>
      <c r="K856" s="441"/>
      <c r="L856" s="114"/>
      <c r="N856" s="114"/>
      <c r="O856" s="114"/>
    </row>
    <row r="857" spans="1:15" s="103" customFormat="1" ht="31.5" x14ac:dyDescent="0.25">
      <c r="A857" s="252" t="s">
        <v>258</v>
      </c>
      <c r="B857" s="132" t="s">
        <v>15</v>
      </c>
      <c r="C857" s="331" t="s">
        <v>28</v>
      </c>
      <c r="D857" s="116" t="s">
        <v>548</v>
      </c>
      <c r="E857" s="334"/>
      <c r="F857" s="575">
        <f>F860+F858</f>
        <v>25050</v>
      </c>
      <c r="G857" s="441"/>
      <c r="H857" s="460">
        <f>H860+H858</f>
        <v>130</v>
      </c>
      <c r="I857" s="583"/>
      <c r="J857" s="575">
        <f>J860-J858</f>
        <v>0</v>
      </c>
      <c r="K857" s="441"/>
      <c r="L857" s="114"/>
      <c r="N857" s="114"/>
      <c r="O857" s="114"/>
    </row>
    <row r="858" spans="1:15" s="103" customFormat="1" x14ac:dyDescent="0.25">
      <c r="A858" s="252" t="s">
        <v>118</v>
      </c>
      <c r="B858" s="132" t="s">
        <v>15</v>
      </c>
      <c r="C858" s="331" t="s">
        <v>28</v>
      </c>
      <c r="D858" s="116" t="s">
        <v>548</v>
      </c>
      <c r="E858" s="334">
        <v>200</v>
      </c>
      <c r="F858" s="575">
        <f>F859</f>
        <v>2014.5</v>
      </c>
      <c r="G858" s="441"/>
      <c r="H858" s="460">
        <f>H859</f>
        <v>130</v>
      </c>
      <c r="I858" s="583"/>
      <c r="J858" s="575">
        <f>J859</f>
        <v>0</v>
      </c>
      <c r="K858" s="441"/>
      <c r="L858" s="114"/>
      <c r="N858" s="114"/>
      <c r="O858" s="114"/>
    </row>
    <row r="859" spans="1:15" s="103" customFormat="1" ht="31.5" x14ac:dyDescent="0.25">
      <c r="A859" s="252" t="s">
        <v>51</v>
      </c>
      <c r="B859" s="132" t="s">
        <v>15</v>
      </c>
      <c r="C859" s="331" t="s">
        <v>28</v>
      </c>
      <c r="D859" s="116" t="s">
        <v>548</v>
      </c>
      <c r="E859" s="334">
        <v>240</v>
      </c>
      <c r="F859" s="575">
        <f>'ведом. 2025-2027'!AD453</f>
        <v>2014.5</v>
      </c>
      <c r="G859" s="441"/>
      <c r="H859" s="460">
        <f>'ведом. 2025-2027'!AE453</f>
        <v>130</v>
      </c>
      <c r="I859" s="583"/>
      <c r="J859" s="575">
        <f>'ведом. 2025-2027'!AF453</f>
        <v>0</v>
      </c>
      <c r="K859" s="441"/>
      <c r="L859" s="114"/>
      <c r="N859" s="114"/>
      <c r="O859" s="114"/>
    </row>
    <row r="860" spans="1:15" s="103" customFormat="1" ht="31.5" x14ac:dyDescent="0.25">
      <c r="A860" s="252" t="s">
        <v>59</v>
      </c>
      <c r="B860" s="132" t="s">
        <v>15</v>
      </c>
      <c r="C860" s="331" t="s">
        <v>28</v>
      </c>
      <c r="D860" s="116" t="s">
        <v>548</v>
      </c>
      <c r="E860" s="334">
        <v>600</v>
      </c>
      <c r="F860" s="575">
        <f>F861</f>
        <v>23035.5</v>
      </c>
      <c r="G860" s="441"/>
      <c r="H860" s="460">
        <f>H861</f>
        <v>0</v>
      </c>
      <c r="I860" s="583"/>
      <c r="J860" s="575">
        <f>J861</f>
        <v>0</v>
      </c>
      <c r="K860" s="441"/>
      <c r="L860" s="114"/>
      <c r="N860" s="114"/>
      <c r="O860" s="114"/>
    </row>
    <row r="861" spans="1:15" s="103" customFormat="1" x14ac:dyDescent="0.25">
      <c r="A861" s="252" t="s">
        <v>60</v>
      </c>
      <c r="B861" s="132" t="s">
        <v>15</v>
      </c>
      <c r="C861" s="331" t="s">
        <v>28</v>
      </c>
      <c r="D861" s="116" t="s">
        <v>548</v>
      </c>
      <c r="E861" s="334">
        <v>610</v>
      </c>
      <c r="F861" s="575">
        <f>'ведом. 2025-2027'!AD455</f>
        <v>23035.5</v>
      </c>
      <c r="G861" s="441"/>
      <c r="H861" s="460">
        <f>'ведом. 2025-2027'!AE455</f>
        <v>0</v>
      </c>
      <c r="I861" s="583"/>
      <c r="J861" s="575">
        <f>'ведом. 2025-2027'!AF455</f>
        <v>0</v>
      </c>
      <c r="K861" s="441"/>
      <c r="L861" s="114"/>
      <c r="N861" s="114"/>
      <c r="O861" s="114"/>
    </row>
    <row r="862" spans="1:15" s="103" customFormat="1" ht="31.5" x14ac:dyDescent="0.25">
      <c r="A862" s="252" t="s">
        <v>259</v>
      </c>
      <c r="B862" s="132" t="s">
        <v>15</v>
      </c>
      <c r="C862" s="331" t="s">
        <v>28</v>
      </c>
      <c r="D862" s="116" t="s">
        <v>549</v>
      </c>
      <c r="E862" s="334"/>
      <c r="F862" s="575">
        <f>F863</f>
        <v>535</v>
      </c>
      <c r="G862" s="441"/>
      <c r="H862" s="460">
        <f>H863</f>
        <v>0</v>
      </c>
      <c r="I862" s="583"/>
      <c r="J862" s="575">
        <f>J863</f>
        <v>0</v>
      </c>
      <c r="K862" s="441"/>
      <c r="L862" s="114"/>
      <c r="N862" s="114"/>
      <c r="O862" s="114"/>
    </row>
    <row r="863" spans="1:15" s="103" customFormat="1" ht="31.5" x14ac:dyDescent="0.25">
      <c r="A863" s="252" t="s">
        <v>59</v>
      </c>
      <c r="B863" s="132" t="s">
        <v>15</v>
      </c>
      <c r="C863" s="331" t="s">
        <v>28</v>
      </c>
      <c r="D863" s="116" t="s">
        <v>549</v>
      </c>
      <c r="E863" s="334">
        <v>600</v>
      </c>
      <c r="F863" s="575">
        <f>F864</f>
        <v>535</v>
      </c>
      <c r="G863" s="441"/>
      <c r="H863" s="460">
        <f>H864</f>
        <v>0</v>
      </c>
      <c r="I863" s="583"/>
      <c r="J863" s="575">
        <f>J864</f>
        <v>0</v>
      </c>
      <c r="K863" s="441"/>
      <c r="L863" s="114"/>
      <c r="N863" s="114"/>
      <c r="O863" s="114"/>
    </row>
    <row r="864" spans="1:15" s="103" customFormat="1" x14ac:dyDescent="0.25">
      <c r="A864" s="252" t="s">
        <v>60</v>
      </c>
      <c r="B864" s="132" t="s">
        <v>15</v>
      </c>
      <c r="C864" s="331" t="s">
        <v>28</v>
      </c>
      <c r="D864" s="116" t="s">
        <v>549</v>
      </c>
      <c r="E864" s="334">
        <v>610</v>
      </c>
      <c r="F864" s="575">
        <f>'ведом. 2025-2027'!AD458</f>
        <v>535</v>
      </c>
      <c r="G864" s="441"/>
      <c r="H864" s="460">
        <f>'ведом. 2025-2027'!AE458</f>
        <v>0</v>
      </c>
      <c r="I864" s="583"/>
      <c r="J864" s="575">
        <f>'ведом. 2025-2027'!AF458</f>
        <v>0</v>
      </c>
      <c r="K864" s="441"/>
      <c r="L864" s="114"/>
      <c r="N864" s="114"/>
      <c r="O864" s="114"/>
    </row>
    <row r="865" spans="1:15" s="103" customFormat="1" ht="31.5" x14ac:dyDescent="0.25">
      <c r="A865" s="183" t="s">
        <v>349</v>
      </c>
      <c r="B865" s="132" t="s">
        <v>15</v>
      </c>
      <c r="C865" s="331" t="s">
        <v>28</v>
      </c>
      <c r="D865" s="116" t="s">
        <v>489</v>
      </c>
      <c r="E865" s="334"/>
      <c r="F865" s="575">
        <f>F866+F869</f>
        <v>93545.3</v>
      </c>
      <c r="G865" s="441"/>
      <c r="H865" s="460">
        <f>H866+H869</f>
        <v>79609.5</v>
      </c>
      <c r="I865" s="583"/>
      <c r="J865" s="575">
        <f>J866+J869</f>
        <v>64032.5</v>
      </c>
      <c r="K865" s="441"/>
      <c r="L865" s="114"/>
      <c r="N865" s="114"/>
      <c r="O865" s="114"/>
    </row>
    <row r="866" spans="1:15" s="138" customFormat="1" ht="47.25" x14ac:dyDescent="0.25">
      <c r="A866" s="224" t="str">
        <f>'ведом. 2025-2027'!X460</f>
        <v>Расходы на обеспечение деятельности (оказание услуг) муниципальных учреждений - культурно-досуговые учреждения (Расходы на выполнение муниципального задания муниципальных учреждений- МУ ДК "Мир")</v>
      </c>
      <c r="B866" s="140" t="str">
        <f>'ведом. 2025-2027'!Z460</f>
        <v>08</v>
      </c>
      <c r="C866" s="139" t="str">
        <f>'ведом. 2025-2027'!AA460</f>
        <v>01</v>
      </c>
      <c r="D866" s="116" t="s">
        <v>490</v>
      </c>
      <c r="E866" s="570"/>
      <c r="F866" s="580">
        <f t="shared" ref="F866:J867" si="176">F867</f>
        <v>41851.599999999999</v>
      </c>
      <c r="G866" s="529"/>
      <c r="H866" s="548">
        <f t="shared" si="176"/>
        <v>37761.300000000003</v>
      </c>
      <c r="I866" s="589"/>
      <c r="J866" s="580">
        <f t="shared" si="176"/>
        <v>21859.200000000001</v>
      </c>
      <c r="K866" s="529"/>
      <c r="L866" s="137"/>
      <c r="N866" s="137"/>
      <c r="O866" s="137"/>
    </row>
    <row r="867" spans="1:15" s="138" customFormat="1" ht="31.5" x14ac:dyDescent="0.25">
      <c r="A867" s="224" t="str">
        <f>'ведом. 2025-2027'!X461</f>
        <v>Предоставление субсидий бюджетным, автономным учреждениям и иным некоммерческим организациям</v>
      </c>
      <c r="B867" s="140" t="str">
        <f>'ведом. 2025-2027'!Z461</f>
        <v>08</v>
      </c>
      <c r="C867" s="139" t="str">
        <f>'ведом. 2025-2027'!AA461</f>
        <v>01</v>
      </c>
      <c r="D867" s="116" t="s">
        <v>490</v>
      </c>
      <c r="E867" s="570">
        <f>'ведом. 2025-2027'!AC461</f>
        <v>600</v>
      </c>
      <c r="F867" s="580">
        <f t="shared" si="176"/>
        <v>41851.599999999999</v>
      </c>
      <c r="G867" s="529"/>
      <c r="H867" s="548">
        <f t="shared" si="176"/>
        <v>37761.300000000003</v>
      </c>
      <c r="I867" s="589"/>
      <c r="J867" s="580">
        <f t="shared" si="176"/>
        <v>21859.200000000001</v>
      </c>
      <c r="K867" s="529"/>
      <c r="L867" s="137"/>
      <c r="N867" s="137"/>
      <c r="O867" s="137"/>
    </row>
    <row r="868" spans="1:15" s="138" customFormat="1" x14ac:dyDescent="0.25">
      <c r="A868" s="224" t="str">
        <f>'ведом. 2025-2027'!X462</f>
        <v>Субсидии бюджетным учреждениям</v>
      </c>
      <c r="B868" s="140" t="str">
        <f>'ведом. 2025-2027'!Z462</f>
        <v>08</v>
      </c>
      <c r="C868" s="139" t="str">
        <f>'ведом. 2025-2027'!AA462</f>
        <v>01</v>
      </c>
      <c r="D868" s="116" t="s">
        <v>490</v>
      </c>
      <c r="E868" s="570">
        <f>'ведом. 2025-2027'!AC462</f>
        <v>610</v>
      </c>
      <c r="F868" s="580">
        <f>'ведом. 2025-2027'!AD462</f>
        <v>41851.599999999999</v>
      </c>
      <c r="G868" s="529"/>
      <c r="H868" s="548">
        <f>'ведом. 2025-2027'!AE462</f>
        <v>37761.300000000003</v>
      </c>
      <c r="I868" s="589"/>
      <c r="J868" s="580">
        <f>'ведом. 2025-2027'!AF462</f>
        <v>21859.200000000001</v>
      </c>
      <c r="K868" s="529"/>
      <c r="L868" s="137"/>
      <c r="N868" s="137"/>
      <c r="O868" s="137"/>
    </row>
    <row r="869" spans="1:15" s="138" customFormat="1" ht="47.25" x14ac:dyDescent="0.25">
      <c r="A869" s="224" t="str">
        <f>'ведом. 2025-2027'!X463</f>
        <v>Расходы на обеспечение деятельности (оказание услуг) муниципальных учреждений - культурно-досуговые учреждения (Расходы на выполнение муниципального задания муниципальных учреждений- МУ ДК "Центр молодежи")</v>
      </c>
      <c r="B869" s="140" t="str">
        <f>'ведом. 2025-2027'!Z463</f>
        <v>08</v>
      </c>
      <c r="C869" s="139" t="str">
        <f>'ведом. 2025-2027'!AA463</f>
        <v>01</v>
      </c>
      <c r="D869" s="116" t="s">
        <v>491</v>
      </c>
      <c r="E869" s="570"/>
      <c r="F869" s="580">
        <f>F870</f>
        <v>51693.700000000004</v>
      </c>
      <c r="G869" s="529"/>
      <c r="H869" s="548">
        <f>H870</f>
        <v>41848.199999999997</v>
      </c>
      <c r="I869" s="589"/>
      <c r="J869" s="580">
        <f>J870</f>
        <v>42173.3</v>
      </c>
      <c r="K869" s="529"/>
      <c r="L869" s="137"/>
      <c r="N869" s="137"/>
      <c r="O869" s="137"/>
    </row>
    <row r="870" spans="1:15" s="138" customFormat="1" ht="31.5" x14ac:dyDescent="0.25">
      <c r="A870" s="224" t="str">
        <f>'ведом. 2025-2027'!X464</f>
        <v>Предоставление субсидий бюджетным, автономным учреждениям и иным некоммерческим организациям</v>
      </c>
      <c r="B870" s="140" t="str">
        <f>'ведом. 2025-2027'!Z464</f>
        <v>08</v>
      </c>
      <c r="C870" s="139" t="str">
        <f>'ведом. 2025-2027'!AA464</f>
        <v>01</v>
      </c>
      <c r="D870" s="116" t="s">
        <v>491</v>
      </c>
      <c r="E870" s="570">
        <f>'ведом. 2025-2027'!AC464</f>
        <v>600</v>
      </c>
      <c r="F870" s="580">
        <f>F871</f>
        <v>51693.700000000004</v>
      </c>
      <c r="G870" s="529"/>
      <c r="H870" s="548">
        <f>H871</f>
        <v>41848.199999999997</v>
      </c>
      <c r="I870" s="589"/>
      <c r="J870" s="580">
        <f>J871</f>
        <v>42173.3</v>
      </c>
      <c r="K870" s="529"/>
      <c r="L870" s="137"/>
      <c r="N870" s="137"/>
      <c r="O870" s="137"/>
    </row>
    <row r="871" spans="1:15" s="138" customFormat="1" x14ac:dyDescent="0.25">
      <c r="A871" s="224" t="str">
        <f>'ведом. 2025-2027'!X465</f>
        <v>Субсидии бюджетным учреждениям</v>
      </c>
      <c r="B871" s="140" t="str">
        <f>'ведом. 2025-2027'!Z465</f>
        <v>08</v>
      </c>
      <c r="C871" s="139" t="str">
        <f>'ведом. 2025-2027'!AA465</f>
        <v>01</v>
      </c>
      <c r="D871" s="116" t="s">
        <v>491</v>
      </c>
      <c r="E871" s="570">
        <f>'ведом. 2025-2027'!AC465</f>
        <v>610</v>
      </c>
      <c r="F871" s="580">
        <f>'ведом. 2025-2027'!AD465</f>
        <v>51693.700000000004</v>
      </c>
      <c r="G871" s="529"/>
      <c r="H871" s="548">
        <f>'ведом. 2025-2027'!AE465</f>
        <v>41848.199999999997</v>
      </c>
      <c r="I871" s="589"/>
      <c r="J871" s="580">
        <f>'ведом. 2025-2027'!AF465</f>
        <v>42173.3</v>
      </c>
      <c r="K871" s="529"/>
      <c r="L871" s="137"/>
      <c r="N871" s="137"/>
      <c r="O871" s="137"/>
    </row>
    <row r="872" spans="1:15" s="138" customFormat="1" x14ac:dyDescent="0.25">
      <c r="A872" s="294" t="s">
        <v>790</v>
      </c>
      <c r="B872" s="509" t="s">
        <v>15</v>
      </c>
      <c r="C872" s="297" t="s">
        <v>28</v>
      </c>
      <c r="D872" s="409" t="s">
        <v>791</v>
      </c>
      <c r="E872" s="552"/>
      <c r="F872" s="580">
        <f>F873</f>
        <v>5995.3</v>
      </c>
      <c r="G872" s="529"/>
      <c r="H872" s="548">
        <f t="shared" ref="H872:J873" si="177">H873</f>
        <v>0</v>
      </c>
      <c r="I872" s="589"/>
      <c r="J872" s="580">
        <f t="shared" si="177"/>
        <v>0</v>
      </c>
      <c r="K872" s="529"/>
      <c r="L872" s="137"/>
      <c r="N872" s="137"/>
      <c r="O872" s="137"/>
    </row>
    <row r="873" spans="1:15" s="138" customFormat="1" ht="31.5" x14ac:dyDescent="0.25">
      <c r="A873" s="294" t="s">
        <v>59</v>
      </c>
      <c r="B873" s="509" t="s">
        <v>15</v>
      </c>
      <c r="C873" s="297" t="s">
        <v>28</v>
      </c>
      <c r="D873" s="409" t="s">
        <v>791</v>
      </c>
      <c r="E873" s="552">
        <v>600</v>
      </c>
      <c r="F873" s="580">
        <f>F874</f>
        <v>5995.3</v>
      </c>
      <c r="G873" s="529"/>
      <c r="H873" s="548">
        <f t="shared" si="177"/>
        <v>0</v>
      </c>
      <c r="I873" s="589"/>
      <c r="J873" s="580">
        <f t="shared" si="177"/>
        <v>0</v>
      </c>
      <c r="K873" s="529"/>
      <c r="L873" s="137"/>
      <c r="N873" s="137"/>
      <c r="O873" s="137"/>
    </row>
    <row r="874" spans="1:15" s="138" customFormat="1" x14ac:dyDescent="0.25">
      <c r="A874" s="294" t="s">
        <v>60</v>
      </c>
      <c r="B874" s="509" t="s">
        <v>15</v>
      </c>
      <c r="C874" s="297" t="s">
        <v>28</v>
      </c>
      <c r="D874" s="409" t="s">
        <v>791</v>
      </c>
      <c r="E874" s="552">
        <v>610</v>
      </c>
      <c r="F874" s="580">
        <f>'ведом. 2025-2027'!AD469</f>
        <v>5995.3</v>
      </c>
      <c r="G874" s="529"/>
      <c r="H874" s="548">
        <f>'ведом. 2025-2027'!AE469</f>
        <v>0</v>
      </c>
      <c r="I874" s="589"/>
      <c r="J874" s="580">
        <f>'ведом. 2025-2027'!AF469</f>
        <v>0</v>
      </c>
      <c r="K874" s="529"/>
      <c r="L874" s="137"/>
      <c r="N874" s="137"/>
      <c r="O874" s="137"/>
    </row>
    <row r="875" spans="1:15" s="138" customFormat="1" ht="31.5" x14ac:dyDescent="0.25">
      <c r="A875" s="255" t="s">
        <v>624</v>
      </c>
      <c r="B875" s="132" t="s">
        <v>15</v>
      </c>
      <c r="C875" s="331" t="s">
        <v>28</v>
      </c>
      <c r="D875" s="116" t="s">
        <v>625</v>
      </c>
      <c r="E875" s="334"/>
      <c r="F875" s="580">
        <f>F879+F876</f>
        <v>8290.5</v>
      </c>
      <c r="G875" s="529">
        <f t="shared" ref="G875:J875" si="178">G879+G876</f>
        <v>8290.5</v>
      </c>
      <c r="H875" s="548">
        <f t="shared" si="178"/>
        <v>345.5</v>
      </c>
      <c r="I875" s="589">
        <f t="shared" si="178"/>
        <v>345.5</v>
      </c>
      <c r="J875" s="580">
        <f t="shared" si="178"/>
        <v>0</v>
      </c>
      <c r="K875" s="529"/>
      <c r="L875" s="137"/>
      <c r="N875" s="137"/>
      <c r="O875" s="137"/>
    </row>
    <row r="876" spans="1:15" s="138" customFormat="1" ht="31.5" x14ac:dyDescent="0.25">
      <c r="A876" s="450" t="s">
        <v>893</v>
      </c>
      <c r="B876" s="132" t="s">
        <v>15</v>
      </c>
      <c r="C876" s="331" t="s">
        <v>28</v>
      </c>
      <c r="D876" s="409" t="s">
        <v>901</v>
      </c>
      <c r="E876" s="334"/>
      <c r="F876" s="580">
        <f>F877</f>
        <v>6850</v>
      </c>
      <c r="G876" s="529">
        <f t="shared" ref="G876:J876" si="179">G877</f>
        <v>6850</v>
      </c>
      <c r="H876" s="548">
        <f t="shared" si="179"/>
        <v>0</v>
      </c>
      <c r="I876" s="589"/>
      <c r="J876" s="580">
        <f t="shared" si="179"/>
        <v>0</v>
      </c>
      <c r="K876" s="529"/>
      <c r="L876" s="137"/>
      <c r="N876" s="137"/>
      <c r="O876" s="137"/>
    </row>
    <row r="877" spans="1:15" s="138" customFormat="1" ht="31.5" x14ac:dyDescent="0.25">
      <c r="A877" s="294" t="s">
        <v>59</v>
      </c>
      <c r="B877" s="509" t="s">
        <v>15</v>
      </c>
      <c r="C877" s="297" t="s">
        <v>28</v>
      </c>
      <c r="D877" s="409" t="s">
        <v>901</v>
      </c>
      <c r="E877" s="334">
        <v>600</v>
      </c>
      <c r="F877" s="580">
        <f>F878</f>
        <v>6850</v>
      </c>
      <c r="G877" s="529">
        <f t="shared" ref="G877" si="180">G878</f>
        <v>6850</v>
      </c>
      <c r="H877" s="548">
        <f t="shared" ref="H877:J877" si="181">H878</f>
        <v>0</v>
      </c>
      <c r="I877" s="589"/>
      <c r="J877" s="580">
        <f t="shared" si="181"/>
        <v>0</v>
      </c>
      <c r="K877" s="529"/>
      <c r="L877" s="137"/>
      <c r="N877" s="137"/>
      <c r="O877" s="137"/>
    </row>
    <row r="878" spans="1:15" s="138" customFormat="1" x14ac:dyDescent="0.25">
      <c r="A878" s="294" t="s">
        <v>60</v>
      </c>
      <c r="B878" s="509" t="s">
        <v>15</v>
      </c>
      <c r="C878" s="297" t="s">
        <v>28</v>
      </c>
      <c r="D878" s="409" t="s">
        <v>901</v>
      </c>
      <c r="E878" s="334">
        <v>610</v>
      </c>
      <c r="F878" s="580">
        <f>'ведом. 2025-2027'!AD473</f>
        <v>6850</v>
      </c>
      <c r="G878" s="529">
        <f>F878</f>
        <v>6850</v>
      </c>
      <c r="H878" s="548">
        <f>'ведом. 2025-2027'!AE473</f>
        <v>0</v>
      </c>
      <c r="I878" s="589"/>
      <c r="J878" s="580">
        <f>'ведом. 2025-2027'!AF473</f>
        <v>0</v>
      </c>
      <c r="K878" s="529"/>
      <c r="L878" s="137"/>
      <c r="N878" s="137"/>
      <c r="O878" s="137"/>
    </row>
    <row r="879" spans="1:15" s="138" customFormat="1" ht="31.5" x14ac:dyDescent="0.25">
      <c r="A879" s="255" t="s">
        <v>626</v>
      </c>
      <c r="B879" s="509" t="s">
        <v>15</v>
      </c>
      <c r="C879" s="297" t="s">
        <v>28</v>
      </c>
      <c r="D879" s="409" t="s">
        <v>627</v>
      </c>
      <c r="E879" s="334"/>
      <c r="F879" s="580">
        <f>F880</f>
        <v>1440.5</v>
      </c>
      <c r="G879" s="529">
        <f t="shared" ref="G879:J880" si="182">G880</f>
        <v>1440.5</v>
      </c>
      <c r="H879" s="548">
        <f t="shared" si="182"/>
        <v>345.5</v>
      </c>
      <c r="I879" s="589">
        <f t="shared" si="182"/>
        <v>345.5</v>
      </c>
      <c r="J879" s="580">
        <f t="shared" si="182"/>
        <v>0</v>
      </c>
      <c r="K879" s="529"/>
      <c r="L879" s="137"/>
      <c r="N879" s="137"/>
      <c r="O879" s="137"/>
    </row>
    <row r="880" spans="1:15" s="138" customFormat="1" ht="31.5" x14ac:dyDescent="0.25">
      <c r="A880" s="255" t="s">
        <v>59</v>
      </c>
      <c r="B880" s="132" t="s">
        <v>15</v>
      </c>
      <c r="C880" s="331" t="s">
        <v>28</v>
      </c>
      <c r="D880" s="116" t="s">
        <v>627</v>
      </c>
      <c r="E880" s="334">
        <v>600</v>
      </c>
      <c r="F880" s="580">
        <f>F881</f>
        <v>1440.5</v>
      </c>
      <c r="G880" s="529">
        <f t="shared" si="182"/>
        <v>1440.5</v>
      </c>
      <c r="H880" s="548">
        <f t="shared" si="182"/>
        <v>345.5</v>
      </c>
      <c r="I880" s="589">
        <f t="shared" si="182"/>
        <v>345.5</v>
      </c>
      <c r="J880" s="580">
        <f t="shared" si="182"/>
        <v>0</v>
      </c>
      <c r="K880" s="529"/>
      <c r="L880" s="137"/>
      <c r="N880" s="137"/>
      <c r="O880" s="137"/>
    </row>
    <row r="881" spans="1:15" s="138" customFormat="1" x14ac:dyDescent="0.25">
      <c r="A881" s="255" t="s">
        <v>60</v>
      </c>
      <c r="B881" s="132" t="s">
        <v>15</v>
      </c>
      <c r="C881" s="331" t="s">
        <v>28</v>
      </c>
      <c r="D881" s="116" t="s">
        <v>627</v>
      </c>
      <c r="E881" s="334">
        <v>610</v>
      </c>
      <c r="F881" s="580">
        <f>'ведом. 2025-2027'!AD476</f>
        <v>1440.5</v>
      </c>
      <c r="G881" s="529">
        <f>F881</f>
        <v>1440.5</v>
      </c>
      <c r="H881" s="548">
        <f>'ведом. 2025-2027'!AE476</f>
        <v>345.5</v>
      </c>
      <c r="I881" s="589">
        <f>H881</f>
        <v>345.5</v>
      </c>
      <c r="J881" s="580">
        <f>'ведом. 2025-2027'!AF476</f>
        <v>0</v>
      </c>
      <c r="K881" s="529"/>
      <c r="L881" s="137"/>
      <c r="N881" s="137"/>
      <c r="O881" s="137"/>
    </row>
    <row r="882" spans="1:15" s="138" customFormat="1" x14ac:dyDescent="0.25">
      <c r="A882" s="185" t="s">
        <v>240</v>
      </c>
      <c r="B882" s="132" t="s">
        <v>15</v>
      </c>
      <c r="C882" s="331" t="s">
        <v>28</v>
      </c>
      <c r="D882" s="116" t="s">
        <v>241</v>
      </c>
      <c r="E882" s="552"/>
      <c r="F882" s="580">
        <f t="shared" ref="F882:F887" si="183">F883</f>
        <v>18637.3</v>
      </c>
      <c r="G882" s="529"/>
      <c r="H882" s="548">
        <f t="shared" ref="H882:J887" si="184">H883</f>
        <v>21472</v>
      </c>
      <c r="I882" s="589"/>
      <c r="J882" s="580">
        <f t="shared" si="184"/>
        <v>22352</v>
      </c>
      <c r="K882" s="529"/>
      <c r="L882" s="137"/>
      <c r="N882" s="137"/>
      <c r="O882" s="137"/>
    </row>
    <row r="883" spans="1:15" s="138" customFormat="1" ht="31.5" x14ac:dyDescent="0.25">
      <c r="A883" s="199" t="s">
        <v>535</v>
      </c>
      <c r="B883" s="132" t="s">
        <v>15</v>
      </c>
      <c r="C883" s="331" t="s">
        <v>28</v>
      </c>
      <c r="D883" s="116" t="s">
        <v>242</v>
      </c>
      <c r="E883" s="552"/>
      <c r="F883" s="580">
        <f t="shared" si="183"/>
        <v>18637.3</v>
      </c>
      <c r="G883" s="529"/>
      <c r="H883" s="548">
        <f t="shared" si="184"/>
        <v>21472</v>
      </c>
      <c r="I883" s="589"/>
      <c r="J883" s="580">
        <f t="shared" si="184"/>
        <v>22352</v>
      </c>
      <c r="K883" s="529"/>
      <c r="L883" s="137"/>
      <c r="N883" s="137"/>
      <c r="O883" s="137"/>
    </row>
    <row r="884" spans="1:15" s="138" customFormat="1" ht="31.5" x14ac:dyDescent="0.25">
      <c r="A884" s="184" t="s">
        <v>536</v>
      </c>
      <c r="B884" s="132" t="s">
        <v>15</v>
      </c>
      <c r="C884" s="331" t="s">
        <v>28</v>
      </c>
      <c r="D884" s="116" t="s">
        <v>243</v>
      </c>
      <c r="E884" s="552"/>
      <c r="F884" s="580">
        <f t="shared" si="183"/>
        <v>18637.3</v>
      </c>
      <c r="G884" s="529"/>
      <c r="H884" s="548">
        <f t="shared" si="184"/>
        <v>21472</v>
      </c>
      <c r="I884" s="589"/>
      <c r="J884" s="580">
        <f t="shared" si="184"/>
        <v>22352</v>
      </c>
      <c r="K884" s="529"/>
      <c r="L884" s="137"/>
      <c r="N884" s="137"/>
      <c r="O884" s="137"/>
    </row>
    <row r="885" spans="1:15" s="138" customFormat="1" x14ac:dyDescent="0.25">
      <c r="A885" s="184" t="s">
        <v>621</v>
      </c>
      <c r="B885" s="132" t="s">
        <v>15</v>
      </c>
      <c r="C885" s="331" t="s">
        <v>28</v>
      </c>
      <c r="D885" s="116" t="s">
        <v>622</v>
      </c>
      <c r="E885" s="552"/>
      <c r="F885" s="580">
        <f t="shared" si="183"/>
        <v>18637.3</v>
      </c>
      <c r="G885" s="529"/>
      <c r="H885" s="548">
        <f t="shared" si="184"/>
        <v>21472</v>
      </c>
      <c r="I885" s="589"/>
      <c r="J885" s="580">
        <f t="shared" si="184"/>
        <v>22352</v>
      </c>
      <c r="K885" s="529"/>
      <c r="L885" s="137"/>
      <c r="N885" s="137"/>
      <c r="O885" s="137"/>
    </row>
    <row r="886" spans="1:15" s="138" customFormat="1" x14ac:dyDescent="0.25">
      <c r="A886" s="184" t="s">
        <v>707</v>
      </c>
      <c r="B886" s="132" t="s">
        <v>15</v>
      </c>
      <c r="C886" s="331" t="s">
        <v>28</v>
      </c>
      <c r="D886" s="116" t="s">
        <v>679</v>
      </c>
      <c r="E886" s="334"/>
      <c r="F886" s="580">
        <f t="shared" si="183"/>
        <v>18637.3</v>
      </c>
      <c r="G886" s="529"/>
      <c r="H886" s="548">
        <f t="shared" si="184"/>
        <v>21472</v>
      </c>
      <c r="I886" s="589"/>
      <c r="J886" s="580">
        <f t="shared" si="184"/>
        <v>22352</v>
      </c>
      <c r="K886" s="529"/>
      <c r="L886" s="137"/>
      <c r="N886" s="137"/>
      <c r="O886" s="137"/>
    </row>
    <row r="887" spans="1:15" s="138" customFormat="1" ht="31.5" x14ac:dyDescent="0.25">
      <c r="A887" s="255" t="s">
        <v>59</v>
      </c>
      <c r="B887" s="132" t="s">
        <v>15</v>
      </c>
      <c r="C887" s="331" t="s">
        <v>28</v>
      </c>
      <c r="D887" s="116" t="s">
        <v>679</v>
      </c>
      <c r="E887" s="334">
        <v>600</v>
      </c>
      <c r="F887" s="580">
        <f t="shared" si="183"/>
        <v>18637.3</v>
      </c>
      <c r="G887" s="529"/>
      <c r="H887" s="548">
        <f t="shared" si="184"/>
        <v>21472</v>
      </c>
      <c r="I887" s="589"/>
      <c r="J887" s="580">
        <f t="shared" si="184"/>
        <v>22352</v>
      </c>
      <c r="K887" s="529"/>
      <c r="L887" s="137"/>
      <c r="N887" s="137"/>
      <c r="O887" s="137"/>
    </row>
    <row r="888" spans="1:15" s="138" customFormat="1" ht="17.25" thickBot="1" x14ac:dyDescent="0.3">
      <c r="A888" s="607" t="s">
        <v>60</v>
      </c>
      <c r="B888" s="505" t="s">
        <v>15</v>
      </c>
      <c r="C888" s="506" t="s">
        <v>28</v>
      </c>
      <c r="D888" s="629" t="s">
        <v>679</v>
      </c>
      <c r="E888" s="626">
        <v>610</v>
      </c>
      <c r="F888" s="649">
        <f>'ведом. 2025-2027'!AD483</f>
        <v>18637.3</v>
      </c>
      <c r="G888" s="650"/>
      <c r="H888" s="651">
        <f>'ведом. 2025-2027'!AE483</f>
        <v>21472</v>
      </c>
      <c r="I888" s="652"/>
      <c r="J888" s="649">
        <f>'ведом. 2025-2027'!AF483</f>
        <v>22352</v>
      </c>
      <c r="K888" s="650"/>
      <c r="L888" s="137"/>
      <c r="N888" s="137"/>
      <c r="O888" s="137"/>
    </row>
    <row r="889" spans="1:15" s="138" customFormat="1" ht="17.25" thickBot="1" x14ac:dyDescent="0.3">
      <c r="A889" s="661" t="s">
        <v>744</v>
      </c>
      <c r="B889" s="662" t="s">
        <v>21</v>
      </c>
      <c r="C889" s="663"/>
      <c r="D889" s="664"/>
      <c r="E889" s="665"/>
      <c r="F889" s="666">
        <f t="shared" ref="F889:F895" si="185">F890</f>
        <v>650</v>
      </c>
      <c r="G889" s="667"/>
      <c r="H889" s="668">
        <f t="shared" ref="H889:H895" si="186">H890</f>
        <v>0</v>
      </c>
      <c r="I889" s="669"/>
      <c r="J889" s="666">
        <f t="shared" ref="J889:J895" si="187">J890</f>
        <v>0</v>
      </c>
      <c r="K889" s="667"/>
      <c r="L889" s="137"/>
      <c r="N889" s="137"/>
      <c r="O889" s="137"/>
    </row>
    <row r="890" spans="1:15" s="138" customFormat="1" x14ac:dyDescent="0.25">
      <c r="A890" s="319" t="s">
        <v>745</v>
      </c>
      <c r="B890" s="653" t="s">
        <v>21</v>
      </c>
      <c r="C890" s="654" t="s">
        <v>21</v>
      </c>
      <c r="D890" s="655"/>
      <c r="E890" s="656"/>
      <c r="F890" s="657">
        <f t="shared" si="185"/>
        <v>650</v>
      </c>
      <c r="G890" s="658"/>
      <c r="H890" s="659">
        <f t="shared" si="186"/>
        <v>0</v>
      </c>
      <c r="I890" s="660"/>
      <c r="J890" s="657">
        <f t="shared" si="187"/>
        <v>0</v>
      </c>
      <c r="K890" s="658"/>
      <c r="L890" s="137"/>
      <c r="N890" s="137"/>
      <c r="O890" s="137"/>
    </row>
    <row r="891" spans="1:15" s="138" customFormat="1" x14ac:dyDescent="0.25">
      <c r="A891" s="294" t="s">
        <v>746</v>
      </c>
      <c r="B891" s="509" t="s">
        <v>21</v>
      </c>
      <c r="C891" s="297" t="s">
        <v>21</v>
      </c>
      <c r="D891" s="409" t="s">
        <v>747</v>
      </c>
      <c r="E891" s="552"/>
      <c r="F891" s="580">
        <f t="shared" si="185"/>
        <v>650</v>
      </c>
      <c r="G891" s="529"/>
      <c r="H891" s="548">
        <f t="shared" si="186"/>
        <v>0</v>
      </c>
      <c r="I891" s="589"/>
      <c r="J891" s="580">
        <f t="shared" si="187"/>
        <v>0</v>
      </c>
      <c r="K891" s="529"/>
      <c r="L891" s="137"/>
      <c r="N891" s="137"/>
      <c r="O891" s="137"/>
    </row>
    <row r="892" spans="1:15" s="138" customFormat="1" x14ac:dyDescent="0.25">
      <c r="A892" s="294" t="s">
        <v>748</v>
      </c>
      <c r="B892" s="509" t="s">
        <v>21</v>
      </c>
      <c r="C892" s="297" t="s">
        <v>21</v>
      </c>
      <c r="D892" s="409" t="s">
        <v>749</v>
      </c>
      <c r="E892" s="552"/>
      <c r="F892" s="580">
        <f t="shared" si="185"/>
        <v>650</v>
      </c>
      <c r="G892" s="529"/>
      <c r="H892" s="548">
        <f t="shared" si="186"/>
        <v>0</v>
      </c>
      <c r="I892" s="589"/>
      <c r="J892" s="580">
        <f t="shared" si="187"/>
        <v>0</v>
      </c>
      <c r="K892" s="529"/>
      <c r="L892" s="137"/>
      <c r="N892" s="137"/>
      <c r="O892" s="137"/>
    </row>
    <row r="893" spans="1:15" s="138" customFormat="1" ht="31.5" x14ac:dyDescent="0.25">
      <c r="A893" s="294" t="s">
        <v>750</v>
      </c>
      <c r="B893" s="509" t="s">
        <v>21</v>
      </c>
      <c r="C893" s="297" t="s">
        <v>21</v>
      </c>
      <c r="D893" s="409" t="s">
        <v>751</v>
      </c>
      <c r="E893" s="552"/>
      <c r="F893" s="580">
        <f t="shared" si="185"/>
        <v>650</v>
      </c>
      <c r="G893" s="529"/>
      <c r="H893" s="548">
        <f t="shared" si="186"/>
        <v>0</v>
      </c>
      <c r="I893" s="589"/>
      <c r="J893" s="580">
        <f t="shared" si="187"/>
        <v>0</v>
      </c>
      <c r="K893" s="529"/>
      <c r="L893" s="137"/>
      <c r="N893" s="137"/>
      <c r="O893" s="137"/>
    </row>
    <row r="894" spans="1:15" s="138" customFormat="1" ht="47.25" x14ac:dyDescent="0.25">
      <c r="A894" s="294" t="s">
        <v>753</v>
      </c>
      <c r="B894" s="509" t="s">
        <v>21</v>
      </c>
      <c r="C894" s="297" t="s">
        <v>21</v>
      </c>
      <c r="D894" s="409" t="s">
        <v>752</v>
      </c>
      <c r="E894" s="552"/>
      <c r="F894" s="580">
        <f t="shared" si="185"/>
        <v>650</v>
      </c>
      <c r="G894" s="529"/>
      <c r="H894" s="548">
        <f t="shared" si="186"/>
        <v>0</v>
      </c>
      <c r="I894" s="589"/>
      <c r="J894" s="580">
        <f t="shared" si="187"/>
        <v>0</v>
      </c>
      <c r="K894" s="529"/>
      <c r="L894" s="137"/>
      <c r="N894" s="137"/>
      <c r="O894" s="137"/>
    </row>
    <row r="895" spans="1:15" s="138" customFormat="1" x14ac:dyDescent="0.25">
      <c r="A895" s="294" t="s">
        <v>95</v>
      </c>
      <c r="B895" s="509" t="s">
        <v>21</v>
      </c>
      <c r="C895" s="297" t="s">
        <v>21</v>
      </c>
      <c r="D895" s="409" t="s">
        <v>752</v>
      </c>
      <c r="E895" s="552">
        <v>300</v>
      </c>
      <c r="F895" s="580">
        <f t="shared" si="185"/>
        <v>650</v>
      </c>
      <c r="G895" s="529"/>
      <c r="H895" s="548">
        <f t="shared" si="186"/>
        <v>0</v>
      </c>
      <c r="I895" s="589"/>
      <c r="J895" s="580">
        <f t="shared" si="187"/>
        <v>0</v>
      </c>
      <c r="K895" s="529"/>
      <c r="L895" s="137"/>
      <c r="N895" s="137"/>
      <c r="O895" s="137"/>
    </row>
    <row r="896" spans="1:15" s="138" customFormat="1" ht="17.25" thickBot="1" x14ac:dyDescent="0.3">
      <c r="A896" s="469" t="s">
        <v>39</v>
      </c>
      <c r="B896" s="619" t="s">
        <v>21</v>
      </c>
      <c r="C896" s="473" t="s">
        <v>21</v>
      </c>
      <c r="D896" s="642" t="s">
        <v>752</v>
      </c>
      <c r="E896" s="621">
        <v>320</v>
      </c>
      <c r="F896" s="649">
        <f>'ведом. 2025-2027'!AD491</f>
        <v>650</v>
      </c>
      <c r="G896" s="650"/>
      <c r="H896" s="651">
        <f>'ведом. 2025-2027'!AE491</f>
        <v>0</v>
      </c>
      <c r="I896" s="652"/>
      <c r="J896" s="649">
        <f>'ведом. 2025-2027'!AF491</f>
        <v>0</v>
      </c>
      <c r="K896" s="650"/>
      <c r="L896" s="137"/>
      <c r="N896" s="137"/>
      <c r="O896" s="137"/>
    </row>
    <row r="897" spans="1:15" s="103" customFormat="1" ht="17.25" thickBot="1" x14ac:dyDescent="0.3">
      <c r="A897" s="258" t="s">
        <v>92</v>
      </c>
      <c r="B897" s="616" t="s">
        <v>35</v>
      </c>
      <c r="C897" s="640"/>
      <c r="D897" s="601"/>
      <c r="E897" s="602"/>
      <c r="F897" s="603">
        <f t="shared" ref="F897:K897" si="188">F898+F916+F943+F905</f>
        <v>55115.3</v>
      </c>
      <c r="G897" s="604">
        <f t="shared" si="188"/>
        <v>38275</v>
      </c>
      <c r="H897" s="605">
        <f t="shared" si="188"/>
        <v>56773.4</v>
      </c>
      <c r="I897" s="606">
        <f>I898+I916+I943+I905</f>
        <v>34322.199999999997</v>
      </c>
      <c r="J897" s="603">
        <f t="shared" si="188"/>
        <v>54173.5</v>
      </c>
      <c r="K897" s="604">
        <f t="shared" si="188"/>
        <v>31601</v>
      </c>
      <c r="L897" s="114"/>
      <c r="N897" s="114"/>
      <c r="O897" s="114"/>
    </row>
    <row r="898" spans="1:15" s="103" customFormat="1" x14ac:dyDescent="0.25">
      <c r="A898" s="592" t="s">
        <v>54</v>
      </c>
      <c r="B898" s="507">
        <v>10</v>
      </c>
      <c r="C898" s="508" t="s">
        <v>28</v>
      </c>
      <c r="D898" s="593"/>
      <c r="E898" s="627"/>
      <c r="F898" s="595">
        <f>F899</f>
        <v>8750</v>
      </c>
      <c r="G898" s="596"/>
      <c r="H898" s="597">
        <f>H899</f>
        <v>9007</v>
      </c>
      <c r="I898" s="598"/>
      <c r="J898" s="595">
        <f>J899</f>
        <v>9007</v>
      </c>
      <c r="K898" s="596"/>
      <c r="L898" s="114"/>
      <c r="N898" s="114"/>
      <c r="O898" s="114"/>
    </row>
    <row r="899" spans="1:15" s="103" customFormat="1" x14ac:dyDescent="0.25">
      <c r="A899" s="182" t="s">
        <v>290</v>
      </c>
      <c r="B899" s="132">
        <v>10</v>
      </c>
      <c r="C899" s="331" t="s">
        <v>28</v>
      </c>
      <c r="D899" s="116" t="s">
        <v>107</v>
      </c>
      <c r="E899" s="563"/>
      <c r="F899" s="575">
        <f>F901</f>
        <v>8750</v>
      </c>
      <c r="G899" s="441"/>
      <c r="H899" s="460">
        <f>H901</f>
        <v>9007</v>
      </c>
      <c r="I899" s="583"/>
      <c r="J899" s="575">
        <f>J901</f>
        <v>9007</v>
      </c>
      <c r="K899" s="441"/>
      <c r="L899" s="114"/>
      <c r="N899" s="114"/>
      <c r="O899" s="114"/>
    </row>
    <row r="900" spans="1:15" s="103" customFormat="1" x14ac:dyDescent="0.25">
      <c r="A900" s="199" t="s">
        <v>291</v>
      </c>
      <c r="B900" s="132">
        <v>10</v>
      </c>
      <c r="C900" s="331" t="s">
        <v>28</v>
      </c>
      <c r="D900" s="116" t="s">
        <v>116</v>
      </c>
      <c r="E900" s="563"/>
      <c r="F900" s="575">
        <f>F901</f>
        <v>8750</v>
      </c>
      <c r="G900" s="441"/>
      <c r="H900" s="460">
        <f>H901</f>
        <v>9007</v>
      </c>
      <c r="I900" s="583"/>
      <c r="J900" s="575">
        <f>J901</f>
        <v>9007</v>
      </c>
      <c r="K900" s="441"/>
      <c r="L900" s="114"/>
      <c r="N900" s="114"/>
      <c r="O900" s="114"/>
    </row>
    <row r="901" spans="1:15" s="103" customFormat="1" ht="31.5" x14ac:dyDescent="0.25">
      <c r="A901" s="185" t="s">
        <v>461</v>
      </c>
      <c r="B901" s="132">
        <v>10</v>
      </c>
      <c r="C901" s="331" t="s">
        <v>28</v>
      </c>
      <c r="D901" s="116" t="s">
        <v>460</v>
      </c>
      <c r="E901" s="563"/>
      <c r="F901" s="575">
        <f>F904</f>
        <v>8750</v>
      </c>
      <c r="G901" s="441"/>
      <c r="H901" s="460">
        <f>H904</f>
        <v>9007</v>
      </c>
      <c r="I901" s="583"/>
      <c r="J901" s="575">
        <f>J904</f>
        <v>9007</v>
      </c>
      <c r="K901" s="441"/>
      <c r="L901" s="114"/>
      <c r="N901" s="114"/>
      <c r="O901" s="114"/>
    </row>
    <row r="902" spans="1:15" s="103" customFormat="1" ht="31.5" x14ac:dyDescent="0.25">
      <c r="A902" s="184" t="s">
        <v>293</v>
      </c>
      <c r="B902" s="132">
        <v>10</v>
      </c>
      <c r="C902" s="331" t="s">
        <v>28</v>
      </c>
      <c r="D902" s="116" t="s">
        <v>459</v>
      </c>
      <c r="E902" s="563"/>
      <c r="F902" s="575">
        <f>F903</f>
        <v>8750</v>
      </c>
      <c r="G902" s="441"/>
      <c r="H902" s="460">
        <f>H903</f>
        <v>9007</v>
      </c>
      <c r="I902" s="583"/>
      <c r="J902" s="575">
        <f>J903</f>
        <v>9007</v>
      </c>
      <c r="K902" s="441"/>
      <c r="L902" s="114"/>
      <c r="N902" s="114"/>
      <c r="O902" s="114"/>
    </row>
    <row r="903" spans="1:15" s="103" customFormat="1" x14ac:dyDescent="0.25">
      <c r="A903" s="252" t="s">
        <v>95</v>
      </c>
      <c r="B903" s="132">
        <v>10</v>
      </c>
      <c r="C903" s="331" t="s">
        <v>28</v>
      </c>
      <c r="D903" s="116" t="s">
        <v>459</v>
      </c>
      <c r="E903" s="334">
        <v>300</v>
      </c>
      <c r="F903" s="575">
        <f>F904</f>
        <v>8750</v>
      </c>
      <c r="G903" s="441"/>
      <c r="H903" s="460">
        <f>H904</f>
        <v>9007</v>
      </c>
      <c r="I903" s="583"/>
      <c r="J903" s="575">
        <f>J904</f>
        <v>9007</v>
      </c>
      <c r="K903" s="441"/>
      <c r="L903" s="114"/>
      <c r="N903" s="114"/>
      <c r="O903" s="114"/>
    </row>
    <row r="904" spans="1:15" s="103" customFormat="1" x14ac:dyDescent="0.25">
      <c r="A904" s="252" t="s">
        <v>39</v>
      </c>
      <c r="B904" s="132">
        <v>10</v>
      </c>
      <c r="C904" s="331" t="s">
        <v>28</v>
      </c>
      <c r="D904" s="116" t="s">
        <v>459</v>
      </c>
      <c r="E904" s="334">
        <v>320</v>
      </c>
      <c r="F904" s="575">
        <f>'ведом. 2025-2027'!AD499+'ведом. 2025-2027'!AD593+'ведом. 2025-2027'!AD635+'ведом. 2025-2027'!AD683+'ведом. 2025-2027'!AD867+'ведом. 2025-2027'!AD1090+'ведом. 2025-2027'!AD1146</f>
        <v>8750</v>
      </c>
      <c r="G904" s="441"/>
      <c r="H904" s="460">
        <f>'ведом. 2025-2027'!AE1146+'ведом. 2025-2027'!AE1090+'ведом. 2025-2027'!AE867+'ведом. 2025-2027'!AE683+'ведом. 2025-2027'!AE635+'ведом. 2025-2027'!AE593+'ведом. 2025-2027'!AE499</f>
        <v>9007</v>
      </c>
      <c r="I904" s="583"/>
      <c r="J904" s="575">
        <f>'ведом. 2025-2027'!AF499+'ведом. 2025-2027'!AF593+'ведом. 2025-2027'!AF635+'ведом. 2025-2027'!AF683+'ведом. 2025-2027'!AF867+'ведом. 2025-2027'!AF1090+'ведом. 2025-2027'!AF1146</f>
        <v>9007</v>
      </c>
      <c r="K904" s="441"/>
      <c r="L904" s="114"/>
      <c r="N904" s="114"/>
      <c r="O904" s="114"/>
    </row>
    <row r="905" spans="1:15" s="103" customFormat="1" x14ac:dyDescent="0.25">
      <c r="A905" s="255" t="s">
        <v>57</v>
      </c>
      <c r="B905" s="132">
        <v>10</v>
      </c>
      <c r="C905" s="331" t="s">
        <v>6</v>
      </c>
      <c r="D905" s="116"/>
      <c r="E905" s="334"/>
      <c r="F905" s="575">
        <f>F907+F912</f>
        <v>359</v>
      </c>
      <c r="G905" s="441"/>
      <c r="H905" s="460">
        <f>H907+H912</f>
        <v>2990</v>
      </c>
      <c r="I905" s="583">
        <f>I907+I912</f>
        <v>2990</v>
      </c>
      <c r="J905" s="575">
        <f>J907+J912</f>
        <v>0</v>
      </c>
      <c r="K905" s="441"/>
      <c r="L905" s="114"/>
      <c r="N905" s="114"/>
      <c r="O905" s="114"/>
    </row>
    <row r="906" spans="1:15" s="103" customFormat="1" x14ac:dyDescent="0.25">
      <c r="A906" s="299" t="s">
        <v>179</v>
      </c>
      <c r="B906" s="509">
        <v>10</v>
      </c>
      <c r="C906" s="297" t="s">
        <v>6</v>
      </c>
      <c r="D906" s="409" t="s">
        <v>114</v>
      </c>
      <c r="E906" s="334"/>
      <c r="F906" s="575">
        <f>F907</f>
        <v>0</v>
      </c>
      <c r="G906" s="441"/>
      <c r="H906" s="460">
        <f>H907</f>
        <v>2990</v>
      </c>
      <c r="I906" s="583">
        <f>I907</f>
        <v>2990</v>
      </c>
      <c r="J906" s="575">
        <f>J907</f>
        <v>0</v>
      </c>
      <c r="K906" s="441"/>
      <c r="L906" s="114"/>
      <c r="N906" s="114"/>
      <c r="O906" s="114"/>
    </row>
    <row r="907" spans="1:15" s="103" customFormat="1" ht="31.5" x14ac:dyDescent="0.25">
      <c r="A907" s="294" t="s">
        <v>660</v>
      </c>
      <c r="B907" s="509">
        <v>10</v>
      </c>
      <c r="C907" s="297" t="s">
        <v>6</v>
      </c>
      <c r="D907" s="409" t="s">
        <v>661</v>
      </c>
      <c r="E907" s="552"/>
      <c r="F907" s="575">
        <f>F908</f>
        <v>0</v>
      </c>
      <c r="G907" s="441"/>
      <c r="H907" s="460">
        <f t="shared" ref="H907:J910" si="189">H908</f>
        <v>2990</v>
      </c>
      <c r="I907" s="583">
        <f t="shared" si="189"/>
        <v>2990</v>
      </c>
      <c r="J907" s="575">
        <f t="shared" si="189"/>
        <v>0</v>
      </c>
      <c r="K907" s="441"/>
      <c r="L907" s="114"/>
      <c r="N907" s="114"/>
      <c r="O907" s="114"/>
    </row>
    <row r="908" spans="1:15" s="103" customFormat="1" ht="47.25" x14ac:dyDescent="0.25">
      <c r="A908" s="294" t="s">
        <v>663</v>
      </c>
      <c r="B908" s="509">
        <v>10</v>
      </c>
      <c r="C908" s="297" t="s">
        <v>6</v>
      </c>
      <c r="D908" s="409" t="s">
        <v>662</v>
      </c>
      <c r="E908" s="552"/>
      <c r="F908" s="575">
        <f>F909</f>
        <v>0</v>
      </c>
      <c r="G908" s="441"/>
      <c r="H908" s="460">
        <f t="shared" si="189"/>
        <v>2990</v>
      </c>
      <c r="I908" s="583">
        <f t="shared" si="189"/>
        <v>2990</v>
      </c>
      <c r="J908" s="575">
        <f t="shared" si="189"/>
        <v>0</v>
      </c>
      <c r="K908" s="441"/>
      <c r="L908" s="114"/>
      <c r="N908" s="114"/>
      <c r="O908" s="114"/>
    </row>
    <row r="909" spans="1:15" s="103" customFormat="1" ht="47.25" x14ac:dyDescent="0.25">
      <c r="A909" s="294" t="s">
        <v>665</v>
      </c>
      <c r="B909" s="509">
        <v>10</v>
      </c>
      <c r="C909" s="297" t="s">
        <v>6</v>
      </c>
      <c r="D909" s="409" t="s">
        <v>664</v>
      </c>
      <c r="E909" s="552"/>
      <c r="F909" s="575">
        <f>F910</f>
        <v>0</v>
      </c>
      <c r="G909" s="441"/>
      <c r="H909" s="460">
        <f t="shared" si="189"/>
        <v>2990</v>
      </c>
      <c r="I909" s="583">
        <f t="shared" si="189"/>
        <v>2990</v>
      </c>
      <c r="J909" s="575">
        <f t="shared" si="189"/>
        <v>0</v>
      </c>
      <c r="K909" s="441"/>
      <c r="L909" s="114"/>
      <c r="N909" s="114"/>
      <c r="O909" s="114"/>
    </row>
    <row r="910" spans="1:15" s="103" customFormat="1" x14ac:dyDescent="0.25">
      <c r="A910" s="294" t="s">
        <v>95</v>
      </c>
      <c r="B910" s="509">
        <v>10</v>
      </c>
      <c r="C910" s="297" t="s">
        <v>6</v>
      </c>
      <c r="D910" s="409" t="s">
        <v>664</v>
      </c>
      <c r="E910" s="552">
        <v>300</v>
      </c>
      <c r="F910" s="575">
        <f>F911</f>
        <v>0</v>
      </c>
      <c r="G910" s="441"/>
      <c r="H910" s="460">
        <f t="shared" si="189"/>
        <v>2990</v>
      </c>
      <c r="I910" s="583">
        <f t="shared" si="189"/>
        <v>2990</v>
      </c>
      <c r="J910" s="575">
        <f t="shared" si="189"/>
        <v>0</v>
      </c>
      <c r="K910" s="441"/>
      <c r="L910" s="114"/>
      <c r="N910" s="114"/>
      <c r="O910" s="114"/>
    </row>
    <row r="911" spans="1:15" s="103" customFormat="1" x14ac:dyDescent="0.25">
      <c r="A911" s="294" t="s">
        <v>39</v>
      </c>
      <c r="B911" s="509">
        <v>10</v>
      </c>
      <c r="C911" s="297" t="s">
        <v>6</v>
      </c>
      <c r="D911" s="409" t="s">
        <v>664</v>
      </c>
      <c r="E911" s="552">
        <v>320</v>
      </c>
      <c r="F911" s="575">
        <f>'ведом. 2025-2027'!AD1097</f>
        <v>0</v>
      </c>
      <c r="G911" s="441"/>
      <c r="H911" s="460">
        <f>'ведом. 2025-2027'!AE1097</f>
        <v>2990</v>
      </c>
      <c r="I911" s="583">
        <v>2990</v>
      </c>
      <c r="J911" s="575">
        <f>'ведом. 2025-2027'!AF1097</f>
        <v>0</v>
      </c>
      <c r="K911" s="441"/>
      <c r="L911" s="114"/>
      <c r="N911" s="114"/>
      <c r="O911" s="114"/>
    </row>
    <row r="912" spans="1:15" s="103" customFormat="1" x14ac:dyDescent="0.25">
      <c r="A912" s="255" t="s">
        <v>328</v>
      </c>
      <c r="B912" s="132">
        <v>10</v>
      </c>
      <c r="C912" s="331" t="s">
        <v>6</v>
      </c>
      <c r="D912" s="204" t="s">
        <v>135</v>
      </c>
      <c r="E912" s="206"/>
      <c r="F912" s="575">
        <f>F913</f>
        <v>359</v>
      </c>
      <c r="G912" s="441"/>
      <c r="H912" s="460">
        <f t="shared" ref="H912:J914" si="190">H913</f>
        <v>0</v>
      </c>
      <c r="I912" s="583"/>
      <c r="J912" s="575">
        <f t="shared" si="190"/>
        <v>0</v>
      </c>
      <c r="K912" s="441"/>
      <c r="L912" s="114"/>
      <c r="N912" s="114"/>
      <c r="O912" s="114"/>
    </row>
    <row r="913" spans="1:15" s="103" customFormat="1" x14ac:dyDescent="0.25">
      <c r="A913" s="184" t="s">
        <v>602</v>
      </c>
      <c r="B913" s="132">
        <v>10</v>
      </c>
      <c r="C913" s="331" t="s">
        <v>6</v>
      </c>
      <c r="D913" s="116" t="s">
        <v>601</v>
      </c>
      <c r="E913" s="206"/>
      <c r="F913" s="575">
        <f>F914</f>
        <v>359</v>
      </c>
      <c r="G913" s="441"/>
      <c r="H913" s="460">
        <f t="shared" si="190"/>
        <v>0</v>
      </c>
      <c r="I913" s="583"/>
      <c r="J913" s="575">
        <f t="shared" si="190"/>
        <v>0</v>
      </c>
      <c r="K913" s="441"/>
      <c r="L913" s="114"/>
      <c r="N913" s="114"/>
      <c r="O913" s="114"/>
    </row>
    <row r="914" spans="1:15" s="103" customFormat="1" x14ac:dyDescent="0.25">
      <c r="A914" s="255" t="s">
        <v>95</v>
      </c>
      <c r="B914" s="132">
        <v>10</v>
      </c>
      <c r="C914" s="331" t="s">
        <v>6</v>
      </c>
      <c r="D914" s="116" t="s">
        <v>601</v>
      </c>
      <c r="E914" s="334">
        <v>300</v>
      </c>
      <c r="F914" s="575">
        <f>F915</f>
        <v>359</v>
      </c>
      <c r="G914" s="441"/>
      <c r="H914" s="460">
        <f t="shared" si="190"/>
        <v>0</v>
      </c>
      <c r="I914" s="583"/>
      <c r="J914" s="575">
        <f t="shared" si="190"/>
        <v>0</v>
      </c>
      <c r="K914" s="441"/>
      <c r="L914" s="114"/>
      <c r="N914" s="114"/>
      <c r="O914" s="114"/>
    </row>
    <row r="915" spans="1:15" s="103" customFormat="1" x14ac:dyDescent="0.25">
      <c r="A915" s="252" t="s">
        <v>129</v>
      </c>
      <c r="B915" s="132">
        <v>10</v>
      </c>
      <c r="C915" s="331" t="s">
        <v>6</v>
      </c>
      <c r="D915" s="116" t="s">
        <v>601</v>
      </c>
      <c r="E915" s="334">
        <v>310</v>
      </c>
      <c r="F915" s="575">
        <f>'ведом. 2025-2027'!AD504</f>
        <v>359</v>
      </c>
      <c r="G915" s="441"/>
      <c r="H915" s="460">
        <f>'ведом. 2025-2027'!AE504</f>
        <v>0</v>
      </c>
      <c r="I915" s="583"/>
      <c r="J915" s="575">
        <f>'ведом. 2025-2027'!AF504</f>
        <v>0</v>
      </c>
      <c r="K915" s="441"/>
      <c r="L915" s="114"/>
      <c r="N915" s="114"/>
      <c r="O915" s="114"/>
    </row>
    <row r="916" spans="1:15" s="103" customFormat="1" x14ac:dyDescent="0.25">
      <c r="A916" s="252" t="s">
        <v>30</v>
      </c>
      <c r="B916" s="132">
        <v>10</v>
      </c>
      <c r="C916" s="331" t="s">
        <v>48</v>
      </c>
      <c r="D916" s="21"/>
      <c r="E916" s="334"/>
      <c r="F916" s="575">
        <f t="shared" ref="F916:K916" si="191">F917+F929</f>
        <v>45866.3</v>
      </c>
      <c r="G916" s="441">
        <f t="shared" si="191"/>
        <v>38275</v>
      </c>
      <c r="H916" s="460">
        <f t="shared" si="191"/>
        <v>44636.4</v>
      </c>
      <c r="I916" s="583">
        <f t="shared" si="191"/>
        <v>31332.2</v>
      </c>
      <c r="J916" s="575">
        <f t="shared" si="191"/>
        <v>45026.5</v>
      </c>
      <c r="K916" s="441">
        <f t="shared" si="191"/>
        <v>31601</v>
      </c>
      <c r="L916" s="114"/>
      <c r="N916" s="114"/>
      <c r="O916" s="114"/>
    </row>
    <row r="917" spans="1:15" s="103" customFormat="1" x14ac:dyDescent="0.25">
      <c r="A917" s="182" t="s">
        <v>260</v>
      </c>
      <c r="B917" s="132">
        <v>10</v>
      </c>
      <c r="C917" s="331" t="s">
        <v>48</v>
      </c>
      <c r="D917" s="21" t="s">
        <v>98</v>
      </c>
      <c r="E917" s="334"/>
      <c r="F917" s="575">
        <f t="shared" ref="F917:K917" si="192">F918</f>
        <v>14906</v>
      </c>
      <c r="G917" s="441">
        <f t="shared" si="192"/>
        <v>14906</v>
      </c>
      <c r="H917" s="460">
        <f t="shared" si="192"/>
        <v>14906</v>
      </c>
      <c r="I917" s="583">
        <f t="shared" si="192"/>
        <v>14906</v>
      </c>
      <c r="J917" s="575">
        <f t="shared" si="192"/>
        <v>14906</v>
      </c>
      <c r="K917" s="441">
        <f t="shared" si="192"/>
        <v>14906</v>
      </c>
      <c r="L917" s="114"/>
      <c r="N917" s="114"/>
      <c r="O917" s="114"/>
    </row>
    <row r="918" spans="1:15" s="103" customFormat="1" x14ac:dyDescent="0.25">
      <c r="A918" s="182" t="s">
        <v>441</v>
      </c>
      <c r="B918" s="132">
        <v>10</v>
      </c>
      <c r="C918" s="331" t="s">
        <v>48</v>
      </c>
      <c r="D918" s="21" t="s">
        <v>115</v>
      </c>
      <c r="E918" s="334"/>
      <c r="F918" s="575">
        <f t="shared" ref="F918:K919" si="193">F919</f>
        <v>14906</v>
      </c>
      <c r="G918" s="441">
        <f t="shared" si="193"/>
        <v>14906</v>
      </c>
      <c r="H918" s="460">
        <f t="shared" si="193"/>
        <v>14906</v>
      </c>
      <c r="I918" s="583">
        <f>I919</f>
        <v>14906</v>
      </c>
      <c r="J918" s="575">
        <f t="shared" si="193"/>
        <v>14906</v>
      </c>
      <c r="K918" s="441">
        <f t="shared" si="193"/>
        <v>14906</v>
      </c>
      <c r="L918" s="114"/>
      <c r="N918" s="114"/>
      <c r="O918" s="114"/>
    </row>
    <row r="919" spans="1:15" s="103" customFormat="1" ht="31.5" x14ac:dyDescent="0.25">
      <c r="A919" s="182" t="s">
        <v>264</v>
      </c>
      <c r="B919" s="132">
        <v>10</v>
      </c>
      <c r="C919" s="331" t="s">
        <v>48</v>
      </c>
      <c r="D919" s="116" t="s">
        <v>442</v>
      </c>
      <c r="E919" s="334"/>
      <c r="F919" s="575">
        <f t="shared" si="193"/>
        <v>14906</v>
      </c>
      <c r="G919" s="441">
        <f t="shared" si="193"/>
        <v>14906</v>
      </c>
      <c r="H919" s="460">
        <f t="shared" si="193"/>
        <v>14906</v>
      </c>
      <c r="I919" s="583">
        <f t="shared" si="193"/>
        <v>14906</v>
      </c>
      <c r="J919" s="575">
        <f t="shared" si="193"/>
        <v>14906</v>
      </c>
      <c r="K919" s="441">
        <f t="shared" si="193"/>
        <v>14906</v>
      </c>
      <c r="L919" s="114"/>
      <c r="N919" s="114"/>
      <c r="O919" s="114"/>
    </row>
    <row r="920" spans="1:15" s="103" customFormat="1" ht="47.25" x14ac:dyDescent="0.25">
      <c r="A920" s="183" t="s">
        <v>261</v>
      </c>
      <c r="B920" s="132">
        <v>10</v>
      </c>
      <c r="C920" s="331" t="s">
        <v>48</v>
      </c>
      <c r="D920" s="116" t="s">
        <v>462</v>
      </c>
      <c r="E920" s="334"/>
      <c r="F920" s="575">
        <f t="shared" ref="F920:K920" si="194">F925+F923+F927+F921</f>
        <v>14906</v>
      </c>
      <c r="G920" s="441">
        <f t="shared" si="194"/>
        <v>14906</v>
      </c>
      <c r="H920" s="460">
        <f t="shared" si="194"/>
        <v>14906</v>
      </c>
      <c r="I920" s="583">
        <f t="shared" si="194"/>
        <v>14906</v>
      </c>
      <c r="J920" s="575">
        <f t="shared" si="194"/>
        <v>14906</v>
      </c>
      <c r="K920" s="441">
        <f t="shared" si="194"/>
        <v>14906</v>
      </c>
      <c r="L920" s="114"/>
      <c r="N920" s="114"/>
      <c r="O920" s="114"/>
    </row>
    <row r="921" spans="1:15" s="103" customFormat="1" ht="47.25" x14ac:dyDescent="0.25">
      <c r="A921" s="294" t="s">
        <v>40</v>
      </c>
      <c r="B921" s="132">
        <v>10</v>
      </c>
      <c r="C921" s="331" t="s">
        <v>48</v>
      </c>
      <c r="D921" s="116" t="s">
        <v>462</v>
      </c>
      <c r="E921" s="334">
        <v>100</v>
      </c>
      <c r="F921" s="575">
        <f t="shared" ref="F921:K921" si="195">F922</f>
        <v>536.1</v>
      </c>
      <c r="G921" s="441">
        <f t="shared" si="195"/>
        <v>536.1</v>
      </c>
      <c r="H921" s="460">
        <f t="shared" si="195"/>
        <v>826</v>
      </c>
      <c r="I921" s="583">
        <f t="shared" si="195"/>
        <v>826</v>
      </c>
      <c r="J921" s="575">
        <f t="shared" si="195"/>
        <v>826</v>
      </c>
      <c r="K921" s="441">
        <f t="shared" si="195"/>
        <v>826</v>
      </c>
      <c r="L921" s="114"/>
      <c r="N921" s="114"/>
      <c r="O921" s="114"/>
    </row>
    <row r="922" spans="1:15" s="103" customFormat="1" x14ac:dyDescent="0.25">
      <c r="A922" s="294" t="s">
        <v>67</v>
      </c>
      <c r="B922" s="132">
        <v>10</v>
      </c>
      <c r="C922" s="331" t="s">
        <v>48</v>
      </c>
      <c r="D922" s="116" t="s">
        <v>462</v>
      </c>
      <c r="E922" s="334">
        <v>110</v>
      </c>
      <c r="F922" s="575">
        <f>'ведом. 2025-2027'!AD511</f>
        <v>536.1</v>
      </c>
      <c r="G922" s="441">
        <f>F922</f>
        <v>536.1</v>
      </c>
      <c r="H922" s="460">
        <f>'ведом. 2025-2027'!AE511</f>
        <v>826</v>
      </c>
      <c r="I922" s="583">
        <f>H922</f>
        <v>826</v>
      </c>
      <c r="J922" s="575">
        <f>'ведом. 2025-2027'!AF511</f>
        <v>826</v>
      </c>
      <c r="K922" s="441">
        <f>J922</f>
        <v>826</v>
      </c>
      <c r="L922" s="114"/>
      <c r="N922" s="114"/>
      <c r="O922" s="114"/>
    </row>
    <row r="923" spans="1:15" s="103" customFormat="1" x14ac:dyDescent="0.25">
      <c r="A923" s="252" t="s">
        <v>118</v>
      </c>
      <c r="B923" s="132">
        <v>10</v>
      </c>
      <c r="C923" s="331" t="s">
        <v>48</v>
      </c>
      <c r="D923" s="116" t="s">
        <v>462</v>
      </c>
      <c r="E923" s="334">
        <v>200</v>
      </c>
      <c r="F923" s="575">
        <f t="shared" ref="F923:K923" si="196">F924</f>
        <v>139</v>
      </c>
      <c r="G923" s="441">
        <f t="shared" si="196"/>
        <v>139</v>
      </c>
      <c r="H923" s="460">
        <f t="shared" si="196"/>
        <v>139</v>
      </c>
      <c r="I923" s="583">
        <f t="shared" si="196"/>
        <v>139</v>
      </c>
      <c r="J923" s="575">
        <f t="shared" si="196"/>
        <v>139</v>
      </c>
      <c r="K923" s="441">
        <f t="shared" si="196"/>
        <v>139</v>
      </c>
      <c r="L923" s="114"/>
      <c r="N923" s="114"/>
      <c r="O923" s="114"/>
    </row>
    <row r="924" spans="1:15" s="103" customFormat="1" ht="31.5" x14ac:dyDescent="0.25">
      <c r="A924" s="252" t="s">
        <v>51</v>
      </c>
      <c r="B924" s="132">
        <v>10</v>
      </c>
      <c r="C924" s="331" t="s">
        <v>48</v>
      </c>
      <c r="D924" s="116" t="s">
        <v>462</v>
      </c>
      <c r="E924" s="334">
        <v>240</v>
      </c>
      <c r="F924" s="575">
        <f>'ведом. 2025-2027'!AD874</f>
        <v>139</v>
      </c>
      <c r="G924" s="441">
        <f>F924</f>
        <v>139</v>
      </c>
      <c r="H924" s="460">
        <f>'ведом. 2025-2027'!AE874</f>
        <v>139</v>
      </c>
      <c r="I924" s="583">
        <f>H924</f>
        <v>139</v>
      </c>
      <c r="J924" s="575">
        <f>'ведом. 2025-2027'!AF874</f>
        <v>139</v>
      </c>
      <c r="K924" s="441">
        <f>J924</f>
        <v>139</v>
      </c>
      <c r="L924" s="114"/>
      <c r="N924" s="114"/>
      <c r="O924" s="114"/>
    </row>
    <row r="925" spans="1:15" s="103" customFormat="1" x14ac:dyDescent="0.25">
      <c r="A925" s="252" t="s">
        <v>95</v>
      </c>
      <c r="B925" s="132">
        <v>10</v>
      </c>
      <c r="C925" s="331" t="s">
        <v>48</v>
      </c>
      <c r="D925" s="116" t="s">
        <v>462</v>
      </c>
      <c r="E925" s="334">
        <v>300</v>
      </c>
      <c r="F925" s="575">
        <f t="shared" ref="F925:K925" si="197">F926</f>
        <v>13941</v>
      </c>
      <c r="G925" s="441">
        <f t="shared" si="197"/>
        <v>13941</v>
      </c>
      <c r="H925" s="460">
        <f t="shared" si="197"/>
        <v>13941</v>
      </c>
      <c r="I925" s="583">
        <f t="shared" si="197"/>
        <v>13941</v>
      </c>
      <c r="J925" s="575">
        <f t="shared" si="197"/>
        <v>13941</v>
      </c>
      <c r="K925" s="441">
        <f t="shared" si="197"/>
        <v>13941</v>
      </c>
      <c r="L925" s="114"/>
      <c r="N925" s="114"/>
      <c r="O925" s="114"/>
    </row>
    <row r="926" spans="1:15" s="103" customFormat="1" x14ac:dyDescent="0.25">
      <c r="A926" s="252" t="s">
        <v>129</v>
      </c>
      <c r="B926" s="132">
        <v>10</v>
      </c>
      <c r="C926" s="331" t="s">
        <v>48</v>
      </c>
      <c r="D926" s="116" t="s">
        <v>462</v>
      </c>
      <c r="E926" s="334">
        <v>310</v>
      </c>
      <c r="F926" s="575">
        <f>'ведом. 2025-2027'!AD876</f>
        <v>13941</v>
      </c>
      <c r="G926" s="441">
        <f>F926</f>
        <v>13941</v>
      </c>
      <c r="H926" s="460">
        <f>'ведом. 2025-2027'!AE876</f>
        <v>13941</v>
      </c>
      <c r="I926" s="583">
        <f>H926</f>
        <v>13941</v>
      </c>
      <c r="J926" s="575">
        <f>'ведом. 2025-2027'!AF876</f>
        <v>13941</v>
      </c>
      <c r="K926" s="441">
        <f>J926</f>
        <v>13941</v>
      </c>
      <c r="L926" s="114"/>
      <c r="N926" s="114"/>
      <c r="O926" s="114"/>
    </row>
    <row r="927" spans="1:15" s="103" customFormat="1" ht="31.5" x14ac:dyDescent="0.25">
      <c r="A927" s="255" t="s">
        <v>59</v>
      </c>
      <c r="B927" s="132">
        <v>10</v>
      </c>
      <c r="C927" s="331" t="s">
        <v>48</v>
      </c>
      <c r="D927" s="116" t="s">
        <v>462</v>
      </c>
      <c r="E927" s="334">
        <v>600</v>
      </c>
      <c r="F927" s="575">
        <f t="shared" ref="F927:K927" si="198">F928</f>
        <v>289.89999999999998</v>
      </c>
      <c r="G927" s="441">
        <f t="shared" si="198"/>
        <v>289.89999999999998</v>
      </c>
      <c r="H927" s="460">
        <f t="shared" si="198"/>
        <v>0</v>
      </c>
      <c r="I927" s="583">
        <f t="shared" si="198"/>
        <v>0</v>
      </c>
      <c r="J927" s="575">
        <f t="shared" si="198"/>
        <v>0</v>
      </c>
      <c r="K927" s="441">
        <f t="shared" si="198"/>
        <v>0</v>
      </c>
      <c r="L927" s="114"/>
      <c r="N927" s="114"/>
      <c r="O927" s="114"/>
    </row>
    <row r="928" spans="1:15" s="103" customFormat="1" x14ac:dyDescent="0.25">
      <c r="A928" s="255" t="s">
        <v>60</v>
      </c>
      <c r="B928" s="132">
        <v>10</v>
      </c>
      <c r="C928" s="331" t="s">
        <v>48</v>
      </c>
      <c r="D928" s="116" t="s">
        <v>462</v>
      </c>
      <c r="E928" s="334">
        <v>610</v>
      </c>
      <c r="F928" s="575">
        <f>'ведом. 2025-2027'!AD878</f>
        <v>289.89999999999998</v>
      </c>
      <c r="G928" s="441">
        <f>F928</f>
        <v>289.89999999999998</v>
      </c>
      <c r="H928" s="460">
        <f>'ведом. 2025-2027'!AE878</f>
        <v>0</v>
      </c>
      <c r="I928" s="583">
        <f>H928</f>
        <v>0</v>
      </c>
      <c r="J928" s="575">
        <f>'ведом. 2025-2027'!AF878</f>
        <v>0</v>
      </c>
      <c r="K928" s="441">
        <f>J928</f>
        <v>0</v>
      </c>
      <c r="L928" s="114"/>
      <c r="N928" s="114"/>
      <c r="O928" s="114"/>
    </row>
    <row r="929" spans="1:15" s="103" customFormat="1" x14ac:dyDescent="0.25">
      <c r="A929" s="182" t="s">
        <v>179</v>
      </c>
      <c r="B929" s="132">
        <v>10</v>
      </c>
      <c r="C929" s="331" t="s">
        <v>48</v>
      </c>
      <c r="D929" s="116" t="s">
        <v>114</v>
      </c>
      <c r="E929" s="334"/>
      <c r="F929" s="575">
        <f t="shared" ref="F929:K929" si="199">F938+F930</f>
        <v>30960.3</v>
      </c>
      <c r="G929" s="441">
        <f t="shared" si="199"/>
        <v>23369</v>
      </c>
      <c r="H929" s="460">
        <f t="shared" si="199"/>
        <v>29730.400000000001</v>
      </c>
      <c r="I929" s="583">
        <f t="shared" si="199"/>
        <v>16426.2</v>
      </c>
      <c r="J929" s="575">
        <f t="shared" si="199"/>
        <v>30120.5</v>
      </c>
      <c r="K929" s="441">
        <f t="shared" si="199"/>
        <v>16695</v>
      </c>
      <c r="L929" s="114"/>
      <c r="N929" s="114"/>
      <c r="O929" s="114"/>
    </row>
    <row r="930" spans="1:15" s="103" customFormat="1" x14ac:dyDescent="0.25">
      <c r="A930" s="182" t="s">
        <v>178</v>
      </c>
      <c r="B930" s="132">
        <v>10</v>
      </c>
      <c r="C930" s="331" t="s">
        <v>48</v>
      </c>
      <c r="D930" s="116" t="s">
        <v>141</v>
      </c>
      <c r="E930" s="334"/>
      <c r="F930" s="575">
        <f t="shared" ref="F930:K930" si="200">F931</f>
        <v>16279.3</v>
      </c>
      <c r="G930" s="441">
        <f t="shared" si="200"/>
        <v>8688</v>
      </c>
      <c r="H930" s="460">
        <f t="shared" si="200"/>
        <v>29730.400000000001</v>
      </c>
      <c r="I930" s="583">
        <f t="shared" si="200"/>
        <v>16426.2</v>
      </c>
      <c r="J930" s="575">
        <f t="shared" si="200"/>
        <v>30120.5</v>
      </c>
      <c r="K930" s="441">
        <f t="shared" si="200"/>
        <v>16695</v>
      </c>
      <c r="L930" s="114"/>
      <c r="N930" s="114"/>
      <c r="O930" s="114"/>
    </row>
    <row r="931" spans="1:15" s="103" customFormat="1" ht="47.25" x14ac:dyDescent="0.25">
      <c r="A931" s="182" t="s">
        <v>420</v>
      </c>
      <c r="B931" s="132">
        <v>10</v>
      </c>
      <c r="C931" s="331" t="s">
        <v>48</v>
      </c>
      <c r="D931" s="116" t="s">
        <v>140</v>
      </c>
      <c r="E931" s="334"/>
      <c r="F931" s="575">
        <f>F935+F932</f>
        <v>16279.3</v>
      </c>
      <c r="G931" s="441">
        <f>G935</f>
        <v>8688</v>
      </c>
      <c r="H931" s="460">
        <f>H935</f>
        <v>29730.400000000001</v>
      </c>
      <c r="I931" s="583">
        <f>I935</f>
        <v>16426.2</v>
      </c>
      <c r="J931" s="575">
        <f>J935</f>
        <v>30120.5</v>
      </c>
      <c r="K931" s="441">
        <f>K935</f>
        <v>16695</v>
      </c>
      <c r="L931" s="114"/>
      <c r="N931" s="114"/>
      <c r="O931" s="114"/>
    </row>
    <row r="932" spans="1:15" s="103" customFormat="1" ht="31.5" x14ac:dyDescent="0.25">
      <c r="A932" s="299" t="s">
        <v>815</v>
      </c>
      <c r="B932" s="509">
        <v>10</v>
      </c>
      <c r="C932" s="297" t="s">
        <v>48</v>
      </c>
      <c r="D932" s="409" t="s">
        <v>816</v>
      </c>
      <c r="E932" s="552"/>
      <c r="F932" s="575">
        <f>F933</f>
        <v>561.29999999999995</v>
      </c>
      <c r="G932" s="441"/>
      <c r="H932" s="460">
        <f t="shared" ref="H932:J933" si="201">H933</f>
        <v>0</v>
      </c>
      <c r="I932" s="583"/>
      <c r="J932" s="575">
        <f t="shared" si="201"/>
        <v>0</v>
      </c>
      <c r="K932" s="441"/>
      <c r="L932" s="114"/>
      <c r="N932" s="114"/>
      <c r="O932" s="114"/>
    </row>
    <row r="933" spans="1:15" s="103" customFormat="1" x14ac:dyDescent="0.25">
      <c r="A933" s="294" t="s">
        <v>95</v>
      </c>
      <c r="B933" s="509">
        <v>10</v>
      </c>
      <c r="C933" s="297" t="s">
        <v>48</v>
      </c>
      <c r="D933" s="409" t="s">
        <v>816</v>
      </c>
      <c r="E933" s="552">
        <v>300</v>
      </c>
      <c r="F933" s="575">
        <f>F934</f>
        <v>561.29999999999995</v>
      </c>
      <c r="G933" s="441"/>
      <c r="H933" s="460">
        <f t="shared" si="201"/>
        <v>0</v>
      </c>
      <c r="I933" s="583"/>
      <c r="J933" s="575">
        <f t="shared" si="201"/>
        <v>0</v>
      </c>
      <c r="K933" s="441"/>
      <c r="L933" s="114"/>
      <c r="N933" s="114"/>
      <c r="O933" s="114"/>
    </row>
    <row r="934" spans="1:15" s="103" customFormat="1" x14ac:dyDescent="0.25">
      <c r="A934" s="294" t="s">
        <v>23</v>
      </c>
      <c r="B934" s="509">
        <v>10</v>
      </c>
      <c r="C934" s="297" t="s">
        <v>48</v>
      </c>
      <c r="D934" s="409" t="s">
        <v>816</v>
      </c>
      <c r="E934" s="552">
        <v>320</v>
      </c>
      <c r="F934" s="575">
        <f>'ведом. 2025-2027'!AD1104</f>
        <v>561.29999999999995</v>
      </c>
      <c r="G934" s="441"/>
      <c r="H934" s="460">
        <f>'ведом. 2025-2027'!AE1104</f>
        <v>0</v>
      </c>
      <c r="I934" s="583"/>
      <c r="J934" s="575">
        <f>'ведом. 2025-2027'!AF1104</f>
        <v>0</v>
      </c>
      <c r="K934" s="441"/>
      <c r="L934" s="114"/>
      <c r="N934" s="114"/>
      <c r="O934" s="114"/>
    </row>
    <row r="935" spans="1:15" s="103" customFormat="1" x14ac:dyDescent="0.25">
      <c r="A935" s="182" t="s">
        <v>176</v>
      </c>
      <c r="B935" s="132">
        <v>10</v>
      </c>
      <c r="C935" s="331" t="s">
        <v>48</v>
      </c>
      <c r="D935" s="116" t="s">
        <v>177</v>
      </c>
      <c r="E935" s="334"/>
      <c r="F935" s="575">
        <f t="shared" ref="F935:K936" si="202">F936</f>
        <v>15718</v>
      </c>
      <c r="G935" s="441">
        <f t="shared" si="202"/>
        <v>8688</v>
      </c>
      <c r="H935" s="460">
        <f t="shared" si="202"/>
        <v>29730.400000000001</v>
      </c>
      <c r="I935" s="583">
        <f t="shared" si="202"/>
        <v>16426.2</v>
      </c>
      <c r="J935" s="575">
        <f t="shared" si="202"/>
        <v>30120.5</v>
      </c>
      <c r="K935" s="441">
        <f t="shared" si="202"/>
        <v>16695</v>
      </c>
      <c r="L935" s="114"/>
      <c r="N935" s="114"/>
      <c r="O935" s="114"/>
    </row>
    <row r="936" spans="1:15" s="103" customFormat="1" x14ac:dyDescent="0.25">
      <c r="A936" s="252" t="s">
        <v>95</v>
      </c>
      <c r="B936" s="132">
        <v>10</v>
      </c>
      <c r="C936" s="331" t="s">
        <v>48</v>
      </c>
      <c r="D936" s="116" t="s">
        <v>177</v>
      </c>
      <c r="E936" s="334">
        <v>300</v>
      </c>
      <c r="F936" s="575">
        <f t="shared" si="202"/>
        <v>15718</v>
      </c>
      <c r="G936" s="441">
        <f t="shared" si="202"/>
        <v>8688</v>
      </c>
      <c r="H936" s="460">
        <f t="shared" si="202"/>
        <v>29730.400000000001</v>
      </c>
      <c r="I936" s="583">
        <f t="shared" si="202"/>
        <v>16426.2</v>
      </c>
      <c r="J936" s="575">
        <f t="shared" si="202"/>
        <v>30120.5</v>
      </c>
      <c r="K936" s="441">
        <f t="shared" si="202"/>
        <v>16695</v>
      </c>
      <c r="L936" s="114"/>
      <c r="N936" s="114"/>
      <c r="O936" s="114"/>
    </row>
    <row r="937" spans="1:15" s="103" customFormat="1" x14ac:dyDescent="0.25">
      <c r="A937" s="252" t="s">
        <v>23</v>
      </c>
      <c r="B937" s="132">
        <v>10</v>
      </c>
      <c r="C937" s="331" t="s">
        <v>48</v>
      </c>
      <c r="D937" s="116" t="s">
        <v>177</v>
      </c>
      <c r="E937" s="334">
        <v>320</v>
      </c>
      <c r="F937" s="575">
        <f>'ведом. 2025-2027'!AD1107</f>
        <v>15718</v>
      </c>
      <c r="G937" s="441">
        <v>8688</v>
      </c>
      <c r="H937" s="460">
        <f>'ведом. 2025-2027'!AE1107</f>
        <v>29730.400000000001</v>
      </c>
      <c r="I937" s="583">
        <v>16426.2</v>
      </c>
      <c r="J937" s="575">
        <f>16695+13425.5</f>
        <v>30120.5</v>
      </c>
      <c r="K937" s="441">
        <v>16695</v>
      </c>
      <c r="L937" s="114"/>
      <c r="M937" s="114"/>
      <c r="N937" s="114"/>
      <c r="O937" s="114"/>
    </row>
    <row r="938" spans="1:15" s="103" customFormat="1" ht="31.5" x14ac:dyDescent="0.25">
      <c r="A938" s="253" t="s">
        <v>434</v>
      </c>
      <c r="B938" s="132">
        <v>10</v>
      </c>
      <c r="C938" s="331" t="s">
        <v>48</v>
      </c>
      <c r="D938" s="116" t="s">
        <v>144</v>
      </c>
      <c r="E938" s="334"/>
      <c r="F938" s="575">
        <f t="shared" ref="F938:J939" si="203">F939</f>
        <v>14681</v>
      </c>
      <c r="G938" s="441">
        <f t="shared" si="203"/>
        <v>14681</v>
      </c>
      <c r="H938" s="460">
        <f t="shared" si="203"/>
        <v>0</v>
      </c>
      <c r="I938" s="583"/>
      <c r="J938" s="575">
        <f t="shared" si="203"/>
        <v>0</v>
      </c>
      <c r="K938" s="441"/>
      <c r="L938" s="114"/>
      <c r="N938" s="114"/>
      <c r="O938" s="114"/>
    </row>
    <row r="939" spans="1:15" s="103" customFormat="1" ht="47.25" x14ac:dyDescent="0.25">
      <c r="A939" s="253" t="s">
        <v>435</v>
      </c>
      <c r="B939" s="132">
        <v>10</v>
      </c>
      <c r="C939" s="331" t="s">
        <v>48</v>
      </c>
      <c r="D939" s="116" t="s">
        <v>143</v>
      </c>
      <c r="E939" s="334"/>
      <c r="F939" s="575">
        <f>F940</f>
        <v>14681</v>
      </c>
      <c r="G939" s="441">
        <f t="shared" si="203"/>
        <v>14681</v>
      </c>
      <c r="H939" s="460">
        <f t="shared" si="203"/>
        <v>0</v>
      </c>
      <c r="I939" s="583"/>
      <c r="J939" s="575">
        <f t="shared" si="203"/>
        <v>0</v>
      </c>
      <c r="K939" s="441"/>
      <c r="L939" s="114"/>
      <c r="N939" s="114"/>
      <c r="O939" s="114"/>
    </row>
    <row r="940" spans="1:15" s="103" customFormat="1" ht="31.5" x14ac:dyDescent="0.25">
      <c r="A940" s="199" t="s">
        <v>606</v>
      </c>
      <c r="B940" s="132">
        <v>10</v>
      </c>
      <c r="C940" s="331" t="s">
        <v>48</v>
      </c>
      <c r="D940" s="116" t="s">
        <v>142</v>
      </c>
      <c r="E940" s="334"/>
      <c r="F940" s="575">
        <f>F941</f>
        <v>14681</v>
      </c>
      <c r="G940" s="441">
        <f>G941</f>
        <v>14681</v>
      </c>
      <c r="H940" s="460">
        <f>H941</f>
        <v>0</v>
      </c>
      <c r="I940" s="583"/>
      <c r="J940" s="575">
        <f>J941</f>
        <v>0</v>
      </c>
      <c r="K940" s="441"/>
      <c r="L940" s="19"/>
      <c r="N940" s="114"/>
      <c r="O940" s="114"/>
    </row>
    <row r="941" spans="1:15" s="103" customFormat="1" x14ac:dyDescent="0.25">
      <c r="A941" s="252" t="s">
        <v>22</v>
      </c>
      <c r="B941" s="132">
        <v>10</v>
      </c>
      <c r="C941" s="331" t="s">
        <v>48</v>
      </c>
      <c r="D941" s="201" t="s">
        <v>142</v>
      </c>
      <c r="E941" s="334">
        <v>400</v>
      </c>
      <c r="F941" s="575">
        <f>F942</f>
        <v>14681</v>
      </c>
      <c r="G941" s="441">
        <f>G942</f>
        <v>14681</v>
      </c>
      <c r="H941" s="460">
        <f>H942</f>
        <v>0</v>
      </c>
      <c r="I941" s="583"/>
      <c r="J941" s="575">
        <f>J942</f>
        <v>0</v>
      </c>
      <c r="K941" s="441"/>
      <c r="L941" s="114"/>
      <c r="N941" s="114"/>
      <c r="O941" s="114"/>
    </row>
    <row r="942" spans="1:15" s="103" customFormat="1" x14ac:dyDescent="0.25">
      <c r="A942" s="252" t="s">
        <v>8</v>
      </c>
      <c r="B942" s="132">
        <v>10</v>
      </c>
      <c r="C942" s="331" t="s">
        <v>48</v>
      </c>
      <c r="D942" s="201" t="s">
        <v>142</v>
      </c>
      <c r="E942" s="334">
        <v>410</v>
      </c>
      <c r="F942" s="575">
        <f>'ведом. 2025-2027'!AD690</f>
        <v>14681</v>
      </c>
      <c r="G942" s="441">
        <f>F942</f>
        <v>14681</v>
      </c>
      <c r="H942" s="460">
        <f>'ведом. 2025-2027'!AE690</f>
        <v>0</v>
      </c>
      <c r="I942" s="583"/>
      <c r="J942" s="575">
        <f>'ведом. 2025-2027'!AF690</f>
        <v>0</v>
      </c>
      <c r="K942" s="441"/>
      <c r="L942" s="114"/>
      <c r="N942" s="114"/>
      <c r="O942" s="114"/>
    </row>
    <row r="943" spans="1:15" s="103" customFormat="1" x14ac:dyDescent="0.25">
      <c r="A943" s="252" t="s">
        <v>32</v>
      </c>
      <c r="B943" s="132">
        <v>10</v>
      </c>
      <c r="C943" s="331" t="s">
        <v>93</v>
      </c>
      <c r="D943" s="21"/>
      <c r="E943" s="205"/>
      <c r="F943" s="575">
        <f t="shared" ref="F943:F951" si="204">F944</f>
        <v>140</v>
      </c>
      <c r="G943" s="441"/>
      <c r="H943" s="460">
        <f>H944</f>
        <v>140</v>
      </c>
      <c r="I943" s="583"/>
      <c r="J943" s="575">
        <f>J944</f>
        <v>140</v>
      </c>
      <c r="K943" s="441"/>
      <c r="L943" s="114"/>
      <c r="N943" s="114"/>
      <c r="O943" s="114"/>
    </row>
    <row r="944" spans="1:15" s="103" customFormat="1" x14ac:dyDescent="0.25">
      <c r="A944" s="182" t="s">
        <v>290</v>
      </c>
      <c r="B944" s="132">
        <v>10</v>
      </c>
      <c r="C944" s="331" t="s">
        <v>93</v>
      </c>
      <c r="D944" s="116" t="s">
        <v>107</v>
      </c>
      <c r="E944" s="205"/>
      <c r="F944" s="575">
        <f t="shared" si="204"/>
        <v>140</v>
      </c>
      <c r="G944" s="441"/>
      <c r="H944" s="460">
        <f>H945</f>
        <v>140</v>
      </c>
      <c r="I944" s="583"/>
      <c r="J944" s="575">
        <f>J945</f>
        <v>140</v>
      </c>
      <c r="K944" s="441"/>
      <c r="L944" s="114"/>
      <c r="N944" s="114"/>
      <c r="O944" s="114"/>
    </row>
    <row r="945" spans="1:15" s="103" customFormat="1" ht="31.5" x14ac:dyDescent="0.25">
      <c r="A945" s="185" t="s">
        <v>339</v>
      </c>
      <c r="B945" s="132">
        <v>10</v>
      </c>
      <c r="C945" s="331" t="s">
        <v>93</v>
      </c>
      <c r="D945" s="116" t="s">
        <v>516</v>
      </c>
      <c r="E945" s="205"/>
      <c r="F945" s="575">
        <f t="shared" si="204"/>
        <v>140</v>
      </c>
      <c r="G945" s="441"/>
      <c r="H945" s="460">
        <f>H946</f>
        <v>140</v>
      </c>
      <c r="I945" s="583"/>
      <c r="J945" s="575">
        <f>J946</f>
        <v>140</v>
      </c>
      <c r="K945" s="441"/>
      <c r="L945" s="114"/>
      <c r="N945" s="114"/>
      <c r="O945" s="114"/>
    </row>
    <row r="946" spans="1:15" s="103" customFormat="1" x14ac:dyDescent="0.25">
      <c r="A946" s="200" t="s">
        <v>518</v>
      </c>
      <c r="B946" s="132">
        <v>10</v>
      </c>
      <c r="C946" s="331" t="s">
        <v>93</v>
      </c>
      <c r="D946" s="116" t="s">
        <v>517</v>
      </c>
      <c r="E946" s="205"/>
      <c r="F946" s="575">
        <f>F950+F947</f>
        <v>140</v>
      </c>
      <c r="G946" s="441"/>
      <c r="H946" s="460">
        <f>H950+H947</f>
        <v>140</v>
      </c>
      <c r="I946" s="583"/>
      <c r="J946" s="575">
        <f>J950+J947</f>
        <v>140</v>
      </c>
      <c r="K946" s="441"/>
      <c r="L946" s="114"/>
      <c r="N946" s="114"/>
      <c r="O946" s="114"/>
    </row>
    <row r="947" spans="1:15" s="103" customFormat="1" x14ac:dyDescent="0.25">
      <c r="A947" s="183" t="s">
        <v>583</v>
      </c>
      <c r="B947" s="132">
        <v>10</v>
      </c>
      <c r="C947" s="331" t="s">
        <v>93</v>
      </c>
      <c r="D947" s="116" t="s">
        <v>584</v>
      </c>
      <c r="E947" s="566"/>
      <c r="F947" s="575">
        <f>F948</f>
        <v>70</v>
      </c>
      <c r="G947" s="441"/>
      <c r="H947" s="460">
        <f>H948</f>
        <v>70</v>
      </c>
      <c r="I947" s="583"/>
      <c r="J947" s="575">
        <f>J948</f>
        <v>70</v>
      </c>
      <c r="K947" s="441"/>
      <c r="L947" s="114"/>
      <c r="N947" s="114"/>
      <c r="O947" s="114"/>
    </row>
    <row r="948" spans="1:15" s="103" customFormat="1" ht="31.5" x14ac:dyDescent="0.25">
      <c r="A948" s="252" t="s">
        <v>59</v>
      </c>
      <c r="B948" s="132">
        <v>10</v>
      </c>
      <c r="C948" s="331" t="s">
        <v>93</v>
      </c>
      <c r="D948" s="116" t="s">
        <v>584</v>
      </c>
      <c r="E948" s="566">
        <v>600</v>
      </c>
      <c r="F948" s="575">
        <f>F949</f>
        <v>70</v>
      </c>
      <c r="G948" s="441"/>
      <c r="H948" s="460">
        <f>H949</f>
        <v>70</v>
      </c>
      <c r="I948" s="583"/>
      <c r="J948" s="575">
        <f>J949</f>
        <v>70</v>
      </c>
      <c r="K948" s="441"/>
      <c r="L948" s="114"/>
      <c r="N948" s="114"/>
      <c r="O948" s="114"/>
    </row>
    <row r="949" spans="1:15" s="103" customFormat="1" ht="39" customHeight="1" x14ac:dyDescent="0.25">
      <c r="A949" s="533" t="s">
        <v>403</v>
      </c>
      <c r="B949" s="132">
        <v>10</v>
      </c>
      <c r="C949" s="331" t="s">
        <v>93</v>
      </c>
      <c r="D949" s="116" t="s">
        <v>584</v>
      </c>
      <c r="E949" s="566">
        <v>630</v>
      </c>
      <c r="F949" s="575">
        <f>'ведом. 2025-2027'!AD518</f>
        <v>70</v>
      </c>
      <c r="G949" s="441"/>
      <c r="H949" s="460">
        <f>'ведом. 2025-2027'!AE518</f>
        <v>70</v>
      </c>
      <c r="I949" s="583"/>
      <c r="J949" s="575">
        <f>'ведом. 2025-2027'!AF518</f>
        <v>70</v>
      </c>
      <c r="K949" s="441"/>
      <c r="L949" s="114"/>
      <c r="N949" s="114"/>
      <c r="O949" s="114"/>
    </row>
    <row r="950" spans="1:15" s="103" customFormat="1" ht="31.5" x14ac:dyDescent="0.25">
      <c r="A950" s="183" t="s">
        <v>564</v>
      </c>
      <c r="B950" s="132">
        <v>10</v>
      </c>
      <c r="C950" s="331" t="s">
        <v>93</v>
      </c>
      <c r="D950" s="116" t="s">
        <v>565</v>
      </c>
      <c r="E950" s="566"/>
      <c r="F950" s="575">
        <f t="shared" si="204"/>
        <v>70</v>
      </c>
      <c r="G950" s="441"/>
      <c r="H950" s="460">
        <f>H951</f>
        <v>70</v>
      </c>
      <c r="I950" s="583"/>
      <c r="J950" s="575">
        <f>J951</f>
        <v>70</v>
      </c>
      <c r="K950" s="441"/>
      <c r="L950" s="114"/>
      <c r="N950" s="114"/>
      <c r="O950" s="114"/>
    </row>
    <row r="951" spans="1:15" s="103" customFormat="1" ht="31.5" x14ac:dyDescent="0.25">
      <c r="A951" s="252" t="s">
        <v>59</v>
      </c>
      <c r="B951" s="132">
        <v>10</v>
      </c>
      <c r="C951" s="331" t="s">
        <v>93</v>
      </c>
      <c r="D951" s="116" t="s">
        <v>565</v>
      </c>
      <c r="E951" s="566">
        <v>600</v>
      </c>
      <c r="F951" s="575">
        <f t="shared" si="204"/>
        <v>70</v>
      </c>
      <c r="G951" s="441"/>
      <c r="H951" s="460">
        <f>H952</f>
        <v>70</v>
      </c>
      <c r="I951" s="583"/>
      <c r="J951" s="575">
        <f>J952</f>
        <v>70</v>
      </c>
      <c r="K951" s="441"/>
      <c r="L951" s="114"/>
      <c r="N951" s="114"/>
      <c r="O951" s="114"/>
    </row>
    <row r="952" spans="1:15" s="103" customFormat="1" ht="36" customHeight="1" thickBot="1" x14ac:dyDescent="0.3">
      <c r="A952" s="646" t="s">
        <v>403</v>
      </c>
      <c r="B952" s="505">
        <v>10</v>
      </c>
      <c r="C952" s="506" t="s">
        <v>93</v>
      </c>
      <c r="D952" s="629" t="s">
        <v>565</v>
      </c>
      <c r="E952" s="647">
        <v>630</v>
      </c>
      <c r="F952" s="612">
        <f>'ведом. 2025-2027'!AD521</f>
        <v>70</v>
      </c>
      <c r="G952" s="613"/>
      <c r="H952" s="614">
        <f>'ведом. 2025-2027'!AE521</f>
        <v>70</v>
      </c>
      <c r="I952" s="615"/>
      <c r="J952" s="612">
        <f>'ведом. 2025-2027'!AF521</f>
        <v>70</v>
      </c>
      <c r="K952" s="613"/>
      <c r="L952" s="114"/>
      <c r="N952" s="114"/>
      <c r="O952" s="114"/>
    </row>
    <row r="953" spans="1:15" s="103" customFormat="1" ht="17.25" thickBot="1" x14ac:dyDescent="0.3">
      <c r="A953" s="258" t="s">
        <v>12</v>
      </c>
      <c r="B953" s="645">
        <v>11</v>
      </c>
      <c r="C953" s="600"/>
      <c r="D953" s="601"/>
      <c r="E953" s="602"/>
      <c r="F953" s="603">
        <f>F954+F968</f>
        <v>141138.6</v>
      </c>
      <c r="G953" s="604">
        <f>G954+G968</f>
        <v>2948</v>
      </c>
      <c r="H953" s="605">
        <f>H954+H968</f>
        <v>124375.9</v>
      </c>
      <c r="I953" s="606"/>
      <c r="J953" s="603">
        <f>J954+J968</f>
        <v>127463.3</v>
      </c>
      <c r="K953" s="604"/>
      <c r="L953" s="114"/>
      <c r="N953" s="114"/>
      <c r="O953" s="114"/>
    </row>
    <row r="954" spans="1:15" s="103" customFormat="1" x14ac:dyDescent="0.25">
      <c r="A954" s="592" t="s">
        <v>34</v>
      </c>
      <c r="B954" s="507">
        <v>11</v>
      </c>
      <c r="C954" s="508" t="s">
        <v>29</v>
      </c>
      <c r="D954" s="639"/>
      <c r="E954" s="648"/>
      <c r="F954" s="595">
        <f>F955</f>
        <v>10724.5</v>
      </c>
      <c r="G954" s="596"/>
      <c r="H954" s="597">
        <f>H955</f>
        <v>3632.9</v>
      </c>
      <c r="I954" s="598"/>
      <c r="J954" s="595">
        <f>J955</f>
        <v>5239.3</v>
      </c>
      <c r="K954" s="596"/>
      <c r="L954" s="114"/>
      <c r="N954" s="114"/>
      <c r="O954" s="114"/>
    </row>
    <row r="955" spans="1:15" s="103" customFormat="1" x14ac:dyDescent="0.25">
      <c r="A955" s="182" t="s">
        <v>155</v>
      </c>
      <c r="B955" s="132">
        <v>11</v>
      </c>
      <c r="C955" s="331" t="s">
        <v>29</v>
      </c>
      <c r="D955" s="116" t="s">
        <v>113</v>
      </c>
      <c r="E955" s="206"/>
      <c r="F955" s="575">
        <f>F956+F964</f>
        <v>10724.5</v>
      </c>
      <c r="G955" s="441"/>
      <c r="H955" s="460">
        <f>H956+H964</f>
        <v>3632.9</v>
      </c>
      <c r="I955" s="583"/>
      <c r="J955" s="575">
        <f>J956+J964</f>
        <v>5239.3</v>
      </c>
      <c r="K955" s="441"/>
      <c r="L955" s="114"/>
      <c r="N955" s="114"/>
      <c r="O955" s="114"/>
    </row>
    <row r="956" spans="1:15" s="103" customFormat="1" x14ac:dyDescent="0.25">
      <c r="A956" s="182" t="s">
        <v>156</v>
      </c>
      <c r="B956" s="132">
        <v>11</v>
      </c>
      <c r="C956" s="331" t="s">
        <v>29</v>
      </c>
      <c r="D956" s="116" t="s">
        <v>117</v>
      </c>
      <c r="E956" s="206"/>
      <c r="F956" s="575">
        <f>F957</f>
        <v>5319.5</v>
      </c>
      <c r="G956" s="441"/>
      <c r="H956" s="460">
        <f>H957</f>
        <v>3632.9</v>
      </c>
      <c r="I956" s="583"/>
      <c r="J956" s="575">
        <f>J957</f>
        <v>5239.3</v>
      </c>
      <c r="K956" s="441"/>
      <c r="L956" s="114"/>
      <c r="N956" s="114"/>
      <c r="O956" s="114"/>
    </row>
    <row r="957" spans="1:15" s="103" customFormat="1" ht="46.5" customHeight="1" x14ac:dyDescent="0.25">
      <c r="A957" s="301" t="s">
        <v>734</v>
      </c>
      <c r="B957" s="132">
        <v>11</v>
      </c>
      <c r="C957" s="331" t="s">
        <v>29</v>
      </c>
      <c r="D957" s="116" t="s">
        <v>127</v>
      </c>
      <c r="E957" s="206"/>
      <c r="F957" s="575">
        <f>F958</f>
        <v>5319.5</v>
      </c>
      <c r="G957" s="441"/>
      <c r="H957" s="460">
        <f>H958</f>
        <v>3632.9</v>
      </c>
      <c r="I957" s="583"/>
      <c r="J957" s="575">
        <f>J958</f>
        <v>5239.3</v>
      </c>
      <c r="K957" s="441"/>
      <c r="L957" s="114"/>
      <c r="N957" s="114"/>
      <c r="O957" s="114"/>
    </row>
    <row r="958" spans="1:15" s="103" customFormat="1" ht="31.5" x14ac:dyDescent="0.25">
      <c r="A958" s="183" t="s">
        <v>157</v>
      </c>
      <c r="B958" s="132">
        <v>11</v>
      </c>
      <c r="C958" s="331" t="s">
        <v>29</v>
      </c>
      <c r="D958" s="116" t="s">
        <v>158</v>
      </c>
      <c r="E958" s="557"/>
      <c r="F958" s="575">
        <f>F959+F961</f>
        <v>5319.5</v>
      </c>
      <c r="G958" s="441"/>
      <c r="H958" s="460">
        <f>H959+H961</f>
        <v>3632.9</v>
      </c>
      <c r="I958" s="583"/>
      <c r="J958" s="575">
        <f>J959+J961</f>
        <v>5239.3</v>
      </c>
      <c r="K958" s="441"/>
      <c r="L958" s="114"/>
      <c r="N958" s="114"/>
      <c r="O958" s="114"/>
    </row>
    <row r="959" spans="1:15" s="103" customFormat="1" x14ac:dyDescent="0.25">
      <c r="A959" s="252" t="s">
        <v>118</v>
      </c>
      <c r="B959" s="132">
        <v>11</v>
      </c>
      <c r="C959" s="331" t="s">
        <v>29</v>
      </c>
      <c r="D959" s="116" t="s">
        <v>158</v>
      </c>
      <c r="E959" s="206">
        <v>200</v>
      </c>
      <c r="F959" s="575">
        <f>F960</f>
        <v>3649.5</v>
      </c>
      <c r="G959" s="441"/>
      <c r="H959" s="460">
        <f>H960</f>
        <v>2857.9</v>
      </c>
      <c r="I959" s="583"/>
      <c r="J959" s="575">
        <f>J960</f>
        <v>3239.3</v>
      </c>
      <c r="K959" s="441"/>
      <c r="L959" s="114"/>
      <c r="N959" s="114"/>
      <c r="O959" s="114"/>
    </row>
    <row r="960" spans="1:15" s="103" customFormat="1" ht="31.5" x14ac:dyDescent="0.25">
      <c r="A960" s="252" t="s">
        <v>51</v>
      </c>
      <c r="B960" s="132">
        <v>11</v>
      </c>
      <c r="C960" s="331" t="s">
        <v>29</v>
      </c>
      <c r="D960" s="116" t="s">
        <v>158</v>
      </c>
      <c r="E960" s="206">
        <v>240</v>
      </c>
      <c r="F960" s="575">
        <f>'ведом. 2025-2027'!AD529</f>
        <v>3649.5</v>
      </c>
      <c r="G960" s="441"/>
      <c r="H960" s="460">
        <f>'ведом. 2025-2027'!AE529</f>
        <v>2857.9</v>
      </c>
      <c r="I960" s="583"/>
      <c r="J960" s="575">
        <f>'ведом. 2025-2027'!AF529</f>
        <v>3239.3</v>
      </c>
      <c r="K960" s="441"/>
      <c r="L960" s="114"/>
      <c r="N960" s="114"/>
      <c r="O960" s="114"/>
    </row>
    <row r="961" spans="1:15" s="103" customFormat="1" ht="31.5" x14ac:dyDescent="0.25">
      <c r="A961" s="446" t="s">
        <v>59</v>
      </c>
      <c r="B961" s="509">
        <v>11</v>
      </c>
      <c r="C961" s="297" t="s">
        <v>29</v>
      </c>
      <c r="D961" s="409" t="s">
        <v>158</v>
      </c>
      <c r="E961" s="552">
        <v>600</v>
      </c>
      <c r="F961" s="575">
        <f>F962+F963</f>
        <v>1670</v>
      </c>
      <c r="G961" s="441"/>
      <c r="H961" s="460">
        <f>H962+H963</f>
        <v>775</v>
      </c>
      <c r="I961" s="583"/>
      <c r="J961" s="575">
        <f>J962+J963</f>
        <v>2000</v>
      </c>
      <c r="K961" s="441"/>
      <c r="L961" s="114"/>
      <c r="N961" s="114"/>
      <c r="O961" s="114"/>
    </row>
    <row r="962" spans="1:15" s="103" customFormat="1" x14ac:dyDescent="0.25">
      <c r="A962" s="294" t="s">
        <v>60</v>
      </c>
      <c r="B962" s="509">
        <v>11</v>
      </c>
      <c r="C962" s="297" t="s">
        <v>29</v>
      </c>
      <c r="D962" s="409" t="s">
        <v>158</v>
      </c>
      <c r="E962" s="552">
        <v>610</v>
      </c>
      <c r="F962" s="575">
        <f>'ведом. 2025-2027'!AD531</f>
        <v>450</v>
      </c>
      <c r="G962" s="441"/>
      <c r="H962" s="460">
        <f>'ведом. 2025-2027'!AE531</f>
        <v>450</v>
      </c>
      <c r="I962" s="583"/>
      <c r="J962" s="575">
        <f>'ведом. 2025-2027'!AF531</f>
        <v>1162</v>
      </c>
      <c r="K962" s="441"/>
      <c r="L962" s="114"/>
      <c r="N962" s="114"/>
      <c r="O962" s="114"/>
    </row>
    <row r="963" spans="1:15" s="103" customFormat="1" x14ac:dyDescent="0.25">
      <c r="A963" s="450" t="s">
        <v>128</v>
      </c>
      <c r="B963" s="509">
        <v>11</v>
      </c>
      <c r="C963" s="297" t="s">
        <v>29</v>
      </c>
      <c r="D963" s="409" t="s">
        <v>158</v>
      </c>
      <c r="E963" s="552">
        <v>620</v>
      </c>
      <c r="F963" s="575">
        <f>'ведом. 2025-2027'!AD532</f>
        <v>1220</v>
      </c>
      <c r="G963" s="441"/>
      <c r="H963" s="460">
        <f>'ведом. 2025-2027'!AE532</f>
        <v>325</v>
      </c>
      <c r="I963" s="583"/>
      <c r="J963" s="575">
        <f>'ведом. 2025-2027'!AF532</f>
        <v>838</v>
      </c>
      <c r="K963" s="441"/>
      <c r="L963" s="114"/>
      <c r="N963" s="114"/>
      <c r="O963" s="114"/>
    </row>
    <row r="964" spans="1:15" s="103" customFormat="1" x14ac:dyDescent="0.25">
      <c r="A964" s="294" t="s">
        <v>675</v>
      </c>
      <c r="B964" s="509">
        <v>11</v>
      </c>
      <c r="C964" s="297" t="s">
        <v>29</v>
      </c>
      <c r="D964" s="409" t="s">
        <v>676</v>
      </c>
      <c r="E964" s="552"/>
      <c r="F964" s="575">
        <f>F965</f>
        <v>5405</v>
      </c>
      <c r="G964" s="441"/>
      <c r="H964" s="460">
        <f t="shared" ref="H964:J966" si="205">H965</f>
        <v>0</v>
      </c>
      <c r="I964" s="583"/>
      <c r="J964" s="575">
        <f t="shared" si="205"/>
        <v>0</v>
      </c>
      <c r="K964" s="441"/>
      <c r="L964" s="114"/>
      <c r="N964" s="114"/>
      <c r="O964" s="114"/>
    </row>
    <row r="965" spans="1:15" s="103" customFormat="1" x14ac:dyDescent="0.25">
      <c r="A965" s="294" t="s">
        <v>677</v>
      </c>
      <c r="B965" s="509">
        <v>11</v>
      </c>
      <c r="C965" s="297" t="s">
        <v>29</v>
      </c>
      <c r="D965" s="409" t="s">
        <v>678</v>
      </c>
      <c r="E965" s="552"/>
      <c r="F965" s="575">
        <f>F966</f>
        <v>5405</v>
      </c>
      <c r="G965" s="441"/>
      <c r="H965" s="460">
        <f t="shared" si="205"/>
        <v>0</v>
      </c>
      <c r="I965" s="583"/>
      <c r="J965" s="575">
        <f t="shared" si="205"/>
        <v>0</v>
      </c>
      <c r="K965" s="441"/>
      <c r="L965" s="114"/>
      <c r="N965" s="114"/>
      <c r="O965" s="114"/>
    </row>
    <row r="966" spans="1:15" s="103" customFormat="1" x14ac:dyDescent="0.25">
      <c r="A966" s="294" t="s">
        <v>118</v>
      </c>
      <c r="B966" s="509">
        <v>11</v>
      </c>
      <c r="C966" s="297" t="s">
        <v>29</v>
      </c>
      <c r="D966" s="409" t="s">
        <v>678</v>
      </c>
      <c r="E966" s="552">
        <v>200</v>
      </c>
      <c r="F966" s="575">
        <f>F967</f>
        <v>5405</v>
      </c>
      <c r="G966" s="441"/>
      <c r="H966" s="460">
        <f t="shared" si="205"/>
        <v>0</v>
      </c>
      <c r="I966" s="583"/>
      <c r="J966" s="575">
        <f t="shared" si="205"/>
        <v>0</v>
      </c>
      <c r="K966" s="441"/>
      <c r="L966" s="114"/>
      <c r="N966" s="114"/>
      <c r="O966" s="114"/>
    </row>
    <row r="967" spans="1:15" s="103" customFormat="1" ht="31.5" x14ac:dyDescent="0.25">
      <c r="A967" s="294" t="s">
        <v>51</v>
      </c>
      <c r="B967" s="509">
        <v>11</v>
      </c>
      <c r="C967" s="297" t="s">
        <v>29</v>
      </c>
      <c r="D967" s="409" t="s">
        <v>678</v>
      </c>
      <c r="E967" s="552">
        <v>240</v>
      </c>
      <c r="F967" s="575">
        <f>'ведом. 2025-2027'!AD1115</f>
        <v>5405</v>
      </c>
      <c r="G967" s="441"/>
      <c r="H967" s="460">
        <f>'ведом. 2025-2027'!AE1115</f>
        <v>0</v>
      </c>
      <c r="I967" s="583"/>
      <c r="J967" s="575">
        <f>'ведом. 2025-2027'!AF1115</f>
        <v>0</v>
      </c>
      <c r="K967" s="441"/>
      <c r="L967" s="114"/>
      <c r="N967" s="114"/>
      <c r="O967" s="114"/>
    </row>
    <row r="968" spans="1:15" s="103" customFormat="1" ht="17.25" customHeight="1" x14ac:dyDescent="0.25">
      <c r="A968" s="198" t="s">
        <v>589</v>
      </c>
      <c r="B968" s="132">
        <v>11</v>
      </c>
      <c r="C968" s="331" t="s">
        <v>6</v>
      </c>
      <c r="D968" s="116"/>
      <c r="E968" s="206"/>
      <c r="F968" s="575">
        <f t="shared" ref="F968:J973" si="206">F969</f>
        <v>130414.1</v>
      </c>
      <c r="G968" s="441">
        <f t="shared" si="206"/>
        <v>2948</v>
      </c>
      <c r="H968" s="460">
        <f t="shared" si="206"/>
        <v>120743</v>
      </c>
      <c r="I968" s="583"/>
      <c r="J968" s="575">
        <f t="shared" si="206"/>
        <v>122224</v>
      </c>
      <c r="K968" s="441"/>
      <c r="L968" s="114"/>
      <c r="N968" s="114"/>
      <c r="O968" s="114"/>
    </row>
    <row r="969" spans="1:15" s="103" customFormat="1" x14ac:dyDescent="0.25">
      <c r="A969" s="182" t="s">
        <v>155</v>
      </c>
      <c r="B969" s="132">
        <v>11</v>
      </c>
      <c r="C969" s="331" t="s">
        <v>6</v>
      </c>
      <c r="D969" s="116" t="s">
        <v>113</v>
      </c>
      <c r="E969" s="206"/>
      <c r="F969" s="575">
        <f t="shared" si="206"/>
        <v>130414.1</v>
      </c>
      <c r="G969" s="441">
        <f t="shared" si="206"/>
        <v>2948</v>
      </c>
      <c r="H969" s="460">
        <f t="shared" si="206"/>
        <v>120743</v>
      </c>
      <c r="I969" s="583"/>
      <c r="J969" s="575">
        <f t="shared" si="206"/>
        <v>122224</v>
      </c>
      <c r="K969" s="441"/>
      <c r="L969" s="114"/>
      <c r="N969" s="114"/>
      <c r="O969" s="114"/>
    </row>
    <row r="970" spans="1:15" s="103" customFormat="1" x14ac:dyDescent="0.25">
      <c r="A970" s="198" t="s">
        <v>590</v>
      </c>
      <c r="B970" s="132">
        <v>11</v>
      </c>
      <c r="C970" s="331" t="s">
        <v>6</v>
      </c>
      <c r="D970" s="116" t="s">
        <v>591</v>
      </c>
      <c r="E970" s="206"/>
      <c r="F970" s="575">
        <f>F971+F975</f>
        <v>130414.1</v>
      </c>
      <c r="G970" s="441">
        <f t="shared" ref="G970:J970" si="207">G971+G975</f>
        <v>2948</v>
      </c>
      <c r="H970" s="460">
        <f t="shared" si="207"/>
        <v>120743</v>
      </c>
      <c r="I970" s="583"/>
      <c r="J970" s="575">
        <f t="shared" si="207"/>
        <v>122224</v>
      </c>
      <c r="K970" s="441"/>
      <c r="L970" s="114"/>
      <c r="N970" s="114"/>
      <c r="O970" s="114"/>
    </row>
    <row r="971" spans="1:15" s="103" customFormat="1" x14ac:dyDescent="0.25">
      <c r="A971" s="198" t="s">
        <v>593</v>
      </c>
      <c r="B971" s="132">
        <v>11</v>
      </c>
      <c r="C971" s="331" t="s">
        <v>6</v>
      </c>
      <c r="D971" s="116" t="s">
        <v>592</v>
      </c>
      <c r="E971" s="206"/>
      <c r="F971" s="575">
        <f t="shared" si="206"/>
        <v>127466.1</v>
      </c>
      <c r="G971" s="441"/>
      <c r="H971" s="460">
        <f t="shared" ref="H971:H973" si="208">H972</f>
        <v>120743</v>
      </c>
      <c r="I971" s="583"/>
      <c r="J971" s="575">
        <f t="shared" ref="J971:J973" si="209">J972</f>
        <v>122224</v>
      </c>
      <c r="K971" s="441"/>
      <c r="L971" s="114"/>
      <c r="N971" s="114"/>
      <c r="O971" s="114"/>
    </row>
    <row r="972" spans="1:15" s="103" customFormat="1" ht="31.5" x14ac:dyDescent="0.25">
      <c r="A972" s="198" t="s">
        <v>595</v>
      </c>
      <c r="B972" s="132">
        <v>11</v>
      </c>
      <c r="C972" s="331" t="s">
        <v>6</v>
      </c>
      <c r="D972" s="116" t="s">
        <v>594</v>
      </c>
      <c r="E972" s="206"/>
      <c r="F972" s="575">
        <f t="shared" si="206"/>
        <v>127466.1</v>
      </c>
      <c r="G972" s="441"/>
      <c r="H972" s="460">
        <f t="shared" si="208"/>
        <v>120743</v>
      </c>
      <c r="I972" s="583"/>
      <c r="J972" s="575">
        <f t="shared" si="209"/>
        <v>122224</v>
      </c>
      <c r="K972" s="441"/>
      <c r="L972" s="114"/>
      <c r="N972" s="114"/>
      <c r="O972" s="114"/>
    </row>
    <row r="973" spans="1:15" s="103" customFormat="1" ht="31.5" x14ac:dyDescent="0.25">
      <c r="A973" s="255" t="s">
        <v>59</v>
      </c>
      <c r="B973" s="132">
        <v>11</v>
      </c>
      <c r="C973" s="331" t="s">
        <v>6</v>
      </c>
      <c r="D973" s="116" t="s">
        <v>594</v>
      </c>
      <c r="E973" s="206">
        <v>600</v>
      </c>
      <c r="F973" s="575">
        <f t="shared" si="206"/>
        <v>127466.1</v>
      </c>
      <c r="G973" s="441"/>
      <c r="H973" s="460">
        <f t="shared" si="208"/>
        <v>120743</v>
      </c>
      <c r="I973" s="583"/>
      <c r="J973" s="575">
        <f t="shared" si="209"/>
        <v>122224</v>
      </c>
      <c r="K973" s="441"/>
      <c r="L973" s="114"/>
      <c r="N973" s="114"/>
      <c r="O973" s="114"/>
    </row>
    <row r="974" spans="1:15" s="103" customFormat="1" x14ac:dyDescent="0.25">
      <c r="A974" s="198" t="s">
        <v>128</v>
      </c>
      <c r="B974" s="132">
        <v>11</v>
      </c>
      <c r="C974" s="331" t="s">
        <v>6</v>
      </c>
      <c r="D974" s="116" t="s">
        <v>594</v>
      </c>
      <c r="E974" s="206">
        <v>620</v>
      </c>
      <c r="F974" s="575">
        <f>'ведом. 2025-2027'!AD539</f>
        <v>127466.1</v>
      </c>
      <c r="G974" s="441"/>
      <c r="H974" s="460">
        <f>'ведом. 2025-2027'!AE539</f>
        <v>120743</v>
      </c>
      <c r="I974" s="583"/>
      <c r="J974" s="575">
        <f>'ведом. 2025-2027'!AF539</f>
        <v>122224</v>
      </c>
      <c r="K974" s="441"/>
      <c r="L974" s="114"/>
      <c r="N974" s="114"/>
      <c r="O974" s="114"/>
    </row>
    <row r="975" spans="1:15" s="103" customFormat="1" ht="31.5" x14ac:dyDescent="0.25">
      <c r="A975" s="450" t="s">
        <v>898</v>
      </c>
      <c r="B975" s="509">
        <v>11</v>
      </c>
      <c r="C975" s="297" t="s">
        <v>6</v>
      </c>
      <c r="D975" s="409" t="s">
        <v>900</v>
      </c>
      <c r="E975" s="571"/>
      <c r="F975" s="575">
        <f>F976</f>
        <v>2948</v>
      </c>
      <c r="G975" s="441">
        <f t="shared" ref="G975:J975" si="210">G976</f>
        <v>2948</v>
      </c>
      <c r="H975" s="460">
        <f t="shared" si="210"/>
        <v>0</v>
      </c>
      <c r="I975" s="583"/>
      <c r="J975" s="575">
        <f t="shared" si="210"/>
        <v>0</v>
      </c>
      <c r="K975" s="441"/>
      <c r="L975" s="114"/>
      <c r="N975" s="114"/>
      <c r="O975" s="114"/>
    </row>
    <row r="976" spans="1:15" s="103" customFormat="1" ht="31.5" x14ac:dyDescent="0.25">
      <c r="A976" s="450" t="s">
        <v>893</v>
      </c>
      <c r="B976" s="509">
        <v>11</v>
      </c>
      <c r="C976" s="297" t="s">
        <v>6</v>
      </c>
      <c r="D976" s="409" t="s">
        <v>899</v>
      </c>
      <c r="E976" s="571"/>
      <c r="F976" s="575">
        <f>F977</f>
        <v>2948</v>
      </c>
      <c r="G976" s="441">
        <f t="shared" ref="G976:J976" si="211">G977</f>
        <v>2948</v>
      </c>
      <c r="H976" s="460">
        <f t="shared" si="211"/>
        <v>0</v>
      </c>
      <c r="I976" s="583"/>
      <c r="J976" s="575">
        <f t="shared" si="211"/>
        <v>0</v>
      </c>
      <c r="K976" s="441"/>
      <c r="L976" s="114"/>
      <c r="N976" s="114"/>
      <c r="O976" s="114"/>
    </row>
    <row r="977" spans="1:15" s="103" customFormat="1" ht="31.5" x14ac:dyDescent="0.25">
      <c r="A977" s="294" t="s">
        <v>59</v>
      </c>
      <c r="B977" s="509">
        <v>11</v>
      </c>
      <c r="C977" s="297" t="s">
        <v>6</v>
      </c>
      <c r="D977" s="409" t="s">
        <v>899</v>
      </c>
      <c r="E977" s="571">
        <v>600</v>
      </c>
      <c r="F977" s="575">
        <f>F978</f>
        <v>2948</v>
      </c>
      <c r="G977" s="441">
        <f t="shared" ref="G977:J977" si="212">G978</f>
        <v>2948</v>
      </c>
      <c r="H977" s="460">
        <f t="shared" si="212"/>
        <v>0</v>
      </c>
      <c r="I977" s="583"/>
      <c r="J977" s="575">
        <f t="shared" si="212"/>
        <v>0</v>
      </c>
      <c r="K977" s="441"/>
      <c r="L977" s="114"/>
      <c r="N977" s="114"/>
      <c r="O977" s="114"/>
    </row>
    <row r="978" spans="1:15" s="103" customFormat="1" x14ac:dyDescent="0.25">
      <c r="A978" s="450" t="s">
        <v>128</v>
      </c>
      <c r="B978" s="509">
        <v>11</v>
      </c>
      <c r="C978" s="297" t="s">
        <v>6</v>
      </c>
      <c r="D978" s="409" t="s">
        <v>899</v>
      </c>
      <c r="E978" s="571">
        <v>620</v>
      </c>
      <c r="F978" s="575">
        <f>'ведом. 2025-2027'!AD543</f>
        <v>2948</v>
      </c>
      <c r="G978" s="441">
        <f>F978</f>
        <v>2948</v>
      </c>
      <c r="H978" s="460">
        <f>'ведом. 2025-2027'!AE543</f>
        <v>0</v>
      </c>
      <c r="I978" s="583"/>
      <c r="J978" s="575">
        <f>'ведом. 2025-2027'!AF543</f>
        <v>0</v>
      </c>
      <c r="K978" s="441"/>
      <c r="L978" s="114"/>
      <c r="N978" s="114"/>
      <c r="O978" s="114"/>
    </row>
    <row r="979" spans="1:15" s="103" customFormat="1" ht="17.25" thickBot="1" x14ac:dyDescent="0.3">
      <c r="A979" s="520" t="s">
        <v>432</v>
      </c>
      <c r="B979" s="670">
        <v>13</v>
      </c>
      <c r="C979" s="671"/>
      <c r="D979" s="672"/>
      <c r="E979" s="673"/>
      <c r="F979" s="674">
        <f>F981</f>
        <v>307</v>
      </c>
      <c r="G979" s="675"/>
      <c r="H979" s="676">
        <f>H981</f>
        <v>40146.5</v>
      </c>
      <c r="I979" s="677"/>
      <c r="J979" s="674">
        <f>J981</f>
        <v>53573.599999999999</v>
      </c>
      <c r="K979" s="675"/>
      <c r="L979" s="114"/>
      <c r="N979" s="114"/>
      <c r="O979" s="114"/>
    </row>
    <row r="980" spans="1:15" s="103" customFormat="1" x14ac:dyDescent="0.25">
      <c r="A980" s="254" t="s">
        <v>433</v>
      </c>
      <c r="B980" s="622">
        <v>13</v>
      </c>
      <c r="C980" s="508" t="s">
        <v>28</v>
      </c>
      <c r="D980" s="639"/>
      <c r="E980" s="643"/>
      <c r="F980" s="595">
        <f>F981</f>
        <v>307</v>
      </c>
      <c r="G980" s="596"/>
      <c r="H980" s="597">
        <f>H981</f>
        <v>40146.5</v>
      </c>
      <c r="I980" s="598"/>
      <c r="J980" s="595">
        <f>J981</f>
        <v>53573.599999999999</v>
      </c>
      <c r="K980" s="644"/>
      <c r="L980" s="114"/>
      <c r="N980" s="114"/>
      <c r="O980" s="114"/>
    </row>
    <row r="981" spans="1:15" s="103" customFormat="1" x14ac:dyDescent="0.25">
      <c r="A981" s="182" t="s">
        <v>184</v>
      </c>
      <c r="B981" s="9">
        <v>13</v>
      </c>
      <c r="C981" s="331" t="s">
        <v>28</v>
      </c>
      <c r="D981" s="116" t="s">
        <v>110</v>
      </c>
      <c r="E981" s="334"/>
      <c r="F981" s="575">
        <f>F985</f>
        <v>307</v>
      </c>
      <c r="G981" s="441"/>
      <c r="H981" s="460">
        <f>H985</f>
        <v>40146.5</v>
      </c>
      <c r="I981" s="583"/>
      <c r="J981" s="575">
        <f>J985</f>
        <v>53573.599999999999</v>
      </c>
      <c r="K981" s="441"/>
      <c r="L981" s="114"/>
      <c r="M981" s="103" t="s">
        <v>356</v>
      </c>
      <c r="N981" s="114"/>
      <c r="O981" s="114"/>
    </row>
    <row r="982" spans="1:15" s="103" customFormat="1" x14ac:dyDescent="0.25">
      <c r="A982" s="185" t="s">
        <v>526</v>
      </c>
      <c r="B982" s="9">
        <v>13</v>
      </c>
      <c r="C982" s="331" t="s">
        <v>28</v>
      </c>
      <c r="D982" s="116" t="s">
        <v>400</v>
      </c>
      <c r="E982" s="334"/>
      <c r="F982" s="575">
        <f>F985</f>
        <v>307</v>
      </c>
      <c r="G982" s="441"/>
      <c r="H982" s="460">
        <f>H985</f>
        <v>40146.5</v>
      </c>
      <c r="I982" s="583"/>
      <c r="J982" s="575">
        <f>J985</f>
        <v>53573.599999999999</v>
      </c>
      <c r="K982" s="441"/>
      <c r="L982" s="114"/>
      <c r="N982" s="114"/>
      <c r="O982" s="114"/>
    </row>
    <row r="983" spans="1:15" s="103" customFormat="1" ht="31.5" x14ac:dyDescent="0.25">
      <c r="A983" s="184" t="s">
        <v>527</v>
      </c>
      <c r="B983" s="9">
        <v>13</v>
      </c>
      <c r="C983" s="331" t="s">
        <v>28</v>
      </c>
      <c r="D983" s="116" t="s">
        <v>402</v>
      </c>
      <c r="E983" s="334"/>
      <c r="F983" s="575">
        <f>F984</f>
        <v>307</v>
      </c>
      <c r="G983" s="441"/>
      <c r="H983" s="460">
        <f>H984</f>
        <v>40146.5</v>
      </c>
      <c r="I983" s="583"/>
      <c r="J983" s="575">
        <f>J984</f>
        <v>53573.599999999999</v>
      </c>
      <c r="K983" s="441"/>
      <c r="L983" s="114"/>
      <c r="N983" s="114"/>
      <c r="O983" s="114"/>
    </row>
    <row r="984" spans="1:15" s="103" customFormat="1" x14ac:dyDescent="0.25">
      <c r="A984" s="185" t="s">
        <v>186</v>
      </c>
      <c r="B984" s="9">
        <v>13</v>
      </c>
      <c r="C984" s="331" t="s">
        <v>28</v>
      </c>
      <c r="D984" s="116" t="s">
        <v>528</v>
      </c>
      <c r="E984" s="334"/>
      <c r="F984" s="575">
        <f>F985</f>
        <v>307</v>
      </c>
      <c r="G984" s="441"/>
      <c r="H984" s="460">
        <f>H985</f>
        <v>40146.5</v>
      </c>
      <c r="I984" s="583"/>
      <c r="J984" s="575">
        <f>J985</f>
        <v>53573.599999999999</v>
      </c>
      <c r="K984" s="441"/>
      <c r="L984" s="114"/>
      <c r="N984" s="114"/>
      <c r="O984" s="114"/>
    </row>
    <row r="985" spans="1:15" s="103" customFormat="1" x14ac:dyDescent="0.25">
      <c r="A985" s="255" t="s">
        <v>66</v>
      </c>
      <c r="B985" s="9">
        <v>13</v>
      </c>
      <c r="C985" s="331" t="s">
        <v>28</v>
      </c>
      <c r="D985" s="116" t="s">
        <v>528</v>
      </c>
      <c r="E985" s="334">
        <v>700</v>
      </c>
      <c r="F985" s="575">
        <f>F986</f>
        <v>307</v>
      </c>
      <c r="G985" s="441"/>
      <c r="H985" s="460">
        <f>H986</f>
        <v>40146.5</v>
      </c>
      <c r="I985" s="583"/>
      <c r="J985" s="575">
        <f>J986</f>
        <v>53573.599999999999</v>
      </c>
      <c r="K985" s="441"/>
      <c r="L985" s="114"/>
      <c r="N985" s="114"/>
      <c r="O985" s="114"/>
    </row>
    <row r="986" spans="1:15" s="103" customFormat="1" ht="17.25" thickBot="1" x14ac:dyDescent="0.3">
      <c r="A986" s="534" t="s">
        <v>350</v>
      </c>
      <c r="B986" s="538">
        <v>13</v>
      </c>
      <c r="C986" s="539" t="s">
        <v>28</v>
      </c>
      <c r="D986" s="544" t="s">
        <v>528</v>
      </c>
      <c r="E986" s="572">
        <v>730</v>
      </c>
      <c r="F986" s="581">
        <f>'ведом. 2025-2027'!AD551</f>
        <v>307</v>
      </c>
      <c r="G986" s="530"/>
      <c r="H986" s="549">
        <f>'ведом. 2025-2027'!AE551</f>
        <v>40146.5</v>
      </c>
      <c r="I986" s="590"/>
      <c r="J986" s="581">
        <f>'ведом. 2025-2027'!AF551</f>
        <v>53573.599999999999</v>
      </c>
      <c r="K986" s="530"/>
      <c r="L986" s="114"/>
      <c r="N986" s="114"/>
      <c r="O986" s="114"/>
    </row>
    <row r="987" spans="1:15" s="103" customFormat="1" ht="22.5" customHeight="1" thickBot="1" x14ac:dyDescent="0.3">
      <c r="A987" s="520" t="s">
        <v>55</v>
      </c>
      <c r="B987" s="521"/>
      <c r="C987" s="522"/>
      <c r="D987" s="523"/>
      <c r="E987" s="524"/>
      <c r="F987" s="524">
        <f t="shared" ref="F987:K987" si="213">F979+F953+F897+F822+F622+F396+F309+F243+F228+F15+F604+F889</f>
        <v>5400574.2000000002</v>
      </c>
      <c r="G987" s="524">
        <f t="shared" si="213"/>
        <v>2843439.1</v>
      </c>
      <c r="H987" s="550">
        <f t="shared" si="213"/>
        <v>3355666.3</v>
      </c>
      <c r="I987" s="591">
        <f t="shared" si="213"/>
        <v>1491831.4000000001</v>
      </c>
      <c r="J987" s="524">
        <f t="shared" si="213"/>
        <v>3189048.2</v>
      </c>
      <c r="K987" s="524">
        <f t="shared" si="213"/>
        <v>1312804.1000000001</v>
      </c>
      <c r="L987" s="114"/>
      <c r="N987" s="114"/>
      <c r="O987" s="114"/>
    </row>
    <row r="988" spans="1:15" x14ac:dyDescent="0.25">
      <c r="K988" s="112"/>
      <c r="O988" s="112"/>
    </row>
    <row r="989" spans="1:15" x14ac:dyDescent="0.25">
      <c r="J989" s="112"/>
      <c r="O989" s="112"/>
    </row>
    <row r="990" spans="1:15" x14ac:dyDescent="0.25">
      <c r="A990" s="30"/>
      <c r="B990" s="100"/>
      <c r="C990" s="100"/>
      <c r="D990" s="101"/>
      <c r="E990" s="100"/>
      <c r="G990" s="19"/>
      <c r="I990" s="19"/>
      <c r="J990" s="19"/>
      <c r="K990" s="19"/>
    </row>
    <row r="991" spans="1:15" x14ac:dyDescent="0.25">
      <c r="I991" s="19"/>
      <c r="J991" s="19"/>
    </row>
    <row r="992" spans="1:15" ht="12.75" x14ac:dyDescent="0.2">
      <c r="A992" s="34"/>
      <c r="B992" s="34"/>
      <c r="C992" s="34"/>
      <c r="D992" s="34"/>
      <c r="E992" s="34"/>
      <c r="F992" s="34"/>
      <c r="G992" s="34"/>
      <c r="H992" s="34"/>
      <c r="I992" s="34"/>
      <c r="J992" s="112"/>
    </row>
    <row r="993" spans="1:10" x14ac:dyDescent="0.25">
      <c r="J993" s="112"/>
    </row>
    <row r="994" spans="1:10" ht="12.75" x14ac:dyDescent="0.2">
      <c r="A994" s="34"/>
      <c r="B994" s="34"/>
      <c r="C994" s="34"/>
      <c r="D994" s="34"/>
      <c r="E994" s="34"/>
      <c r="F994" s="34"/>
      <c r="G994" s="34"/>
      <c r="H994" s="34"/>
      <c r="I994" s="34"/>
      <c r="J994" s="112"/>
    </row>
  </sheetData>
  <mergeCells count="6">
    <mergeCell ref="A11:K11"/>
    <mergeCell ref="G7:K7"/>
    <mergeCell ref="I5:K5"/>
    <mergeCell ref="I6:K6"/>
    <mergeCell ref="I2:K2"/>
    <mergeCell ref="I3:K3"/>
  </mergeCells>
  <phoneticPr fontId="29" type="noConversion"/>
  <pageMargins left="0.70866141732283472" right="0.70866141732283472" top="0.74803149606299213" bottom="0.74803149606299213" header="0.31496062992125984" footer="0.31496062992125984"/>
  <pageSetup paperSize="9" scale="59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2241"/>
  <sheetViews>
    <sheetView view="pageBreakPreview" topLeftCell="A782" zoomScale="88" zoomScaleNormal="75" zoomScaleSheetLayoutView="88" workbookViewId="0">
      <selection activeCell="AF808" sqref="AF808"/>
    </sheetView>
  </sheetViews>
  <sheetFormatPr defaultColWidth="9.28515625" defaultRowHeight="15.75" x14ac:dyDescent="0.25"/>
  <cols>
    <col min="1" max="1" width="97" style="18" customWidth="1"/>
    <col min="2" max="2" width="19.85546875" style="120" customWidth="1"/>
    <col min="3" max="3" width="6.7109375" style="104" customWidth="1"/>
    <col min="4" max="5" width="12.85546875" style="105" customWidth="1"/>
    <col min="6" max="6" width="13.5703125" style="103" customWidth="1"/>
    <col min="7" max="7" width="20" style="103" hidden="1" customWidth="1"/>
    <col min="8" max="30" width="9.28515625" style="103" hidden="1" customWidth="1"/>
    <col min="31" max="16384" width="9.28515625" style="103"/>
  </cols>
  <sheetData>
    <row r="1" spans="1:38" ht="16.5" customHeight="1" x14ac:dyDescent="0.25">
      <c r="B1" s="119"/>
      <c r="C1" s="8"/>
      <c r="D1" s="684" t="s">
        <v>887</v>
      </c>
      <c r="E1" s="681"/>
      <c r="F1" s="681"/>
    </row>
    <row r="2" spans="1:38" ht="162.75" customHeight="1" x14ac:dyDescent="0.25">
      <c r="B2" s="119"/>
      <c r="C2" s="8"/>
      <c r="D2" s="685" t="s">
        <v>810</v>
      </c>
      <c r="E2" s="685"/>
      <c r="F2" s="685"/>
    </row>
    <row r="3" spans="1:38" ht="9.75" hidden="1" customHeight="1" x14ac:dyDescent="0.25">
      <c r="B3" s="119"/>
      <c r="C3" s="8"/>
      <c r="D3" s="23"/>
      <c r="E3" s="23"/>
    </row>
    <row r="4" spans="1:38" ht="23.25" customHeight="1" x14ac:dyDescent="0.25">
      <c r="B4" s="425"/>
      <c r="C4" s="425"/>
      <c r="D4" s="684" t="s">
        <v>888</v>
      </c>
      <c r="E4" s="681"/>
      <c r="F4" s="681"/>
    </row>
    <row r="5" spans="1:38" ht="111" customHeight="1" x14ac:dyDescent="0.2">
      <c r="B5" s="289"/>
      <c r="C5" s="466"/>
      <c r="D5" s="685" t="s">
        <v>809</v>
      </c>
      <c r="E5" s="686"/>
      <c r="F5" s="686"/>
    </row>
    <row r="6" spans="1:38" x14ac:dyDescent="0.25">
      <c r="B6" s="111"/>
      <c r="C6" s="100"/>
      <c r="D6" s="8"/>
      <c r="E6" s="8"/>
    </row>
    <row r="7" spans="1:38" x14ac:dyDescent="0.25">
      <c r="B7" s="111"/>
      <c r="C7" s="100"/>
      <c r="D7" s="8"/>
      <c r="E7" s="8"/>
    </row>
    <row r="8" spans="1:38" ht="77.45" customHeight="1" x14ac:dyDescent="0.2">
      <c r="A8" s="687" t="s">
        <v>769</v>
      </c>
      <c r="B8" s="687"/>
      <c r="C8" s="687"/>
      <c r="D8" s="688"/>
      <c r="E8" s="688"/>
      <c r="F8" s="689"/>
      <c r="AL8" s="103" t="s">
        <v>356</v>
      </c>
    </row>
    <row r="9" spans="1:38" x14ac:dyDescent="0.25">
      <c r="B9" s="119"/>
      <c r="C9" s="8"/>
      <c r="D9" s="23"/>
      <c r="E9" s="23"/>
      <c r="F9" s="148"/>
      <c r="G9" s="33"/>
      <c r="H9" s="33"/>
      <c r="I9" s="33"/>
    </row>
    <row r="10" spans="1:38" ht="16.5" thickBot="1" x14ac:dyDescent="0.3">
      <c r="B10" s="119"/>
      <c r="C10" s="8"/>
      <c r="D10" s="23"/>
      <c r="E10" s="23"/>
      <c r="F10" s="23" t="s">
        <v>147</v>
      </c>
      <c r="G10" s="33"/>
      <c r="H10" s="33"/>
      <c r="I10" s="33"/>
    </row>
    <row r="11" spans="1:38" ht="32.25" thickBot="1" x14ac:dyDescent="0.25">
      <c r="A11" s="381" t="s">
        <v>71</v>
      </c>
      <c r="B11" s="381" t="s">
        <v>1</v>
      </c>
      <c r="C11" s="381" t="s">
        <v>61</v>
      </c>
      <c r="D11" s="382" t="s">
        <v>430</v>
      </c>
      <c r="E11" s="382" t="s">
        <v>605</v>
      </c>
      <c r="F11" s="382" t="s">
        <v>634</v>
      </c>
      <c r="G11" s="33"/>
      <c r="H11" s="33"/>
      <c r="I11" s="33"/>
    </row>
    <row r="12" spans="1:38" ht="23.25" customHeight="1" thickBot="1" x14ac:dyDescent="0.3">
      <c r="A12" s="383">
        <v>1</v>
      </c>
      <c r="B12" s="389">
        <v>2</v>
      </c>
      <c r="C12" s="383">
        <v>3</v>
      </c>
      <c r="D12" s="383">
        <v>4</v>
      </c>
      <c r="E12" s="383">
        <v>5</v>
      </c>
      <c r="F12" s="383">
        <v>6</v>
      </c>
      <c r="G12" s="30"/>
      <c r="H12" s="33" t="s">
        <v>563</v>
      </c>
      <c r="I12" s="99"/>
    </row>
    <row r="13" spans="1:38" ht="24" customHeight="1" x14ac:dyDescent="0.25">
      <c r="A13" s="387" t="s">
        <v>746</v>
      </c>
      <c r="B13" s="408" t="s">
        <v>747</v>
      </c>
      <c r="C13" s="388"/>
      <c r="D13" s="496">
        <f t="shared" ref="D13:F14" si="0">D14</f>
        <v>650</v>
      </c>
      <c r="E13" s="496">
        <f t="shared" si="0"/>
        <v>0</v>
      </c>
      <c r="F13" s="496">
        <f t="shared" si="0"/>
        <v>0</v>
      </c>
      <c r="G13" s="30"/>
      <c r="H13" s="33"/>
      <c r="I13" s="99"/>
    </row>
    <row r="14" spans="1:38" x14ac:dyDescent="0.25">
      <c r="A14" s="294" t="s">
        <v>748</v>
      </c>
      <c r="B14" s="409" t="s">
        <v>749</v>
      </c>
      <c r="C14" s="384"/>
      <c r="D14" s="497">
        <f t="shared" si="0"/>
        <v>650</v>
      </c>
      <c r="E14" s="497">
        <f t="shared" si="0"/>
        <v>0</v>
      </c>
      <c r="F14" s="497">
        <f t="shared" si="0"/>
        <v>0</v>
      </c>
      <c r="G14" s="30"/>
      <c r="H14" s="33"/>
      <c r="I14" s="99"/>
    </row>
    <row r="15" spans="1:38" ht="31.5" x14ac:dyDescent="0.25">
      <c r="A15" s="294" t="s">
        <v>750</v>
      </c>
      <c r="B15" s="409" t="s">
        <v>751</v>
      </c>
      <c r="C15" s="384"/>
      <c r="D15" s="497">
        <f>D16</f>
        <v>650</v>
      </c>
      <c r="E15" s="497">
        <f t="shared" ref="E15:AD15" si="1">E16</f>
        <v>0</v>
      </c>
      <c r="F15" s="497">
        <f t="shared" si="1"/>
        <v>0</v>
      </c>
      <c r="G15" s="385">
        <f t="shared" si="1"/>
        <v>0</v>
      </c>
      <c r="H15" s="385">
        <f t="shared" si="1"/>
        <v>0</v>
      </c>
      <c r="I15" s="385">
        <f t="shared" si="1"/>
        <v>0</v>
      </c>
      <c r="J15" s="385">
        <f t="shared" si="1"/>
        <v>0</v>
      </c>
      <c r="K15" s="385">
        <f t="shared" si="1"/>
        <v>0</v>
      </c>
      <c r="L15" s="385">
        <f t="shared" si="1"/>
        <v>0</v>
      </c>
      <c r="M15" s="385">
        <f t="shared" si="1"/>
        <v>0</v>
      </c>
      <c r="N15" s="385">
        <f t="shared" si="1"/>
        <v>0</v>
      </c>
      <c r="O15" s="385">
        <f t="shared" si="1"/>
        <v>0</v>
      </c>
      <c r="P15" s="385">
        <f t="shared" si="1"/>
        <v>0</v>
      </c>
      <c r="Q15" s="385">
        <f t="shared" si="1"/>
        <v>0</v>
      </c>
      <c r="R15" s="385">
        <f t="shared" si="1"/>
        <v>0</v>
      </c>
      <c r="S15" s="385">
        <f t="shared" si="1"/>
        <v>0</v>
      </c>
      <c r="T15" s="385">
        <f t="shared" si="1"/>
        <v>0</v>
      </c>
      <c r="U15" s="385">
        <f t="shared" si="1"/>
        <v>0</v>
      </c>
      <c r="V15" s="385">
        <f t="shared" si="1"/>
        <v>0</v>
      </c>
      <c r="W15" s="385">
        <f t="shared" si="1"/>
        <v>0</v>
      </c>
      <c r="X15" s="385">
        <f t="shared" si="1"/>
        <v>0</v>
      </c>
      <c r="Y15" s="385">
        <f t="shared" si="1"/>
        <v>0</v>
      </c>
      <c r="Z15" s="385">
        <f t="shared" si="1"/>
        <v>0</v>
      </c>
      <c r="AA15" s="385">
        <f t="shared" si="1"/>
        <v>0</v>
      </c>
      <c r="AB15" s="385">
        <f t="shared" si="1"/>
        <v>0</v>
      </c>
      <c r="AC15" s="385">
        <f t="shared" si="1"/>
        <v>0</v>
      </c>
      <c r="AD15" s="385">
        <f t="shared" si="1"/>
        <v>0</v>
      </c>
    </row>
    <row r="16" spans="1:38" ht="47.25" x14ac:dyDescent="0.25">
      <c r="A16" s="294" t="s">
        <v>753</v>
      </c>
      <c r="B16" s="409" t="s">
        <v>752</v>
      </c>
      <c r="C16" s="384"/>
      <c r="D16" s="497">
        <f>D17</f>
        <v>650</v>
      </c>
      <c r="E16" s="497">
        <f>E17</f>
        <v>0</v>
      </c>
      <c r="F16" s="497">
        <f>F17</f>
        <v>0</v>
      </c>
      <c r="G16" s="30"/>
      <c r="H16" s="33"/>
      <c r="I16" s="99"/>
    </row>
    <row r="17" spans="1:30" x14ac:dyDescent="0.25">
      <c r="A17" s="294" t="s">
        <v>95</v>
      </c>
      <c r="B17" s="409" t="s">
        <v>752</v>
      </c>
      <c r="C17" s="384">
        <v>300</v>
      </c>
      <c r="D17" s="497">
        <f>D18</f>
        <v>650</v>
      </c>
      <c r="E17" s="497">
        <f>E18</f>
        <v>0</v>
      </c>
      <c r="F17" s="497">
        <f>F18</f>
        <v>0</v>
      </c>
      <c r="G17" s="30"/>
      <c r="H17" s="33"/>
      <c r="I17" s="99"/>
    </row>
    <row r="18" spans="1:30" x14ac:dyDescent="0.25">
      <c r="A18" s="294" t="s">
        <v>39</v>
      </c>
      <c r="B18" s="409" t="s">
        <v>752</v>
      </c>
      <c r="C18" s="384">
        <v>320</v>
      </c>
      <c r="D18" s="497">
        <f>'Функц. 2025-2027'!F896</f>
        <v>650</v>
      </c>
      <c r="E18" s="497">
        <f>'Функц. 2025-2027'!H896</f>
        <v>0</v>
      </c>
      <c r="F18" s="497">
        <f>'Функц. 2025-2027'!J896</f>
        <v>0</v>
      </c>
      <c r="G18" s="30"/>
      <c r="H18" s="33"/>
      <c r="I18" s="99"/>
    </row>
    <row r="19" spans="1:30" s="102" customFormat="1" x14ac:dyDescent="0.25">
      <c r="A19" s="386" t="s">
        <v>562</v>
      </c>
      <c r="B19" s="410" t="s">
        <v>112</v>
      </c>
      <c r="C19" s="390"/>
      <c r="D19" s="288">
        <f>D25+D34+D49+D78+D20</f>
        <v>285096.59999999998</v>
      </c>
      <c r="E19" s="288">
        <f>E25+E34+E49+E78</f>
        <v>190480</v>
      </c>
      <c r="F19" s="288">
        <f>F25+F34+F49+F78</f>
        <v>174769.90000000002</v>
      </c>
      <c r="G19" s="65"/>
    </row>
    <row r="20" spans="1:30" s="102" customFormat="1" ht="47.25" x14ac:dyDescent="0.25">
      <c r="A20" s="182" t="s">
        <v>858</v>
      </c>
      <c r="B20" s="348" t="s">
        <v>859</v>
      </c>
      <c r="C20" s="323"/>
      <c r="D20" s="107">
        <f t="shared" ref="D20:F23" si="2">D21</f>
        <v>570</v>
      </c>
      <c r="E20" s="107">
        <f t="shared" si="2"/>
        <v>0</v>
      </c>
      <c r="F20" s="107">
        <f t="shared" si="2"/>
        <v>0</v>
      </c>
      <c r="G20" s="65"/>
    </row>
    <row r="21" spans="1:30" s="102" customFormat="1" ht="31.5" x14ac:dyDescent="0.25">
      <c r="A21" s="182" t="s">
        <v>856</v>
      </c>
      <c r="B21" s="348" t="s">
        <v>860</v>
      </c>
      <c r="C21" s="323"/>
      <c r="D21" s="107">
        <f t="shared" si="2"/>
        <v>570</v>
      </c>
      <c r="E21" s="107">
        <f t="shared" si="2"/>
        <v>0</v>
      </c>
      <c r="F21" s="107">
        <f t="shared" si="2"/>
        <v>0</v>
      </c>
      <c r="G21" s="65"/>
    </row>
    <row r="22" spans="1:30" s="102" customFormat="1" ht="31.5" x14ac:dyDescent="0.25">
      <c r="A22" s="182" t="s">
        <v>857</v>
      </c>
      <c r="B22" s="348" t="s">
        <v>861</v>
      </c>
      <c r="C22" s="323"/>
      <c r="D22" s="107">
        <f t="shared" si="2"/>
        <v>570</v>
      </c>
      <c r="E22" s="107">
        <f t="shared" si="2"/>
        <v>0</v>
      </c>
      <c r="F22" s="107">
        <f t="shared" si="2"/>
        <v>0</v>
      </c>
      <c r="G22" s="65"/>
    </row>
    <row r="23" spans="1:30" s="102" customFormat="1" ht="31.5" x14ac:dyDescent="0.25">
      <c r="A23" s="182" t="s">
        <v>59</v>
      </c>
      <c r="B23" s="348" t="s">
        <v>861</v>
      </c>
      <c r="C23" s="323">
        <v>600</v>
      </c>
      <c r="D23" s="107">
        <f t="shared" si="2"/>
        <v>570</v>
      </c>
      <c r="E23" s="107">
        <f t="shared" si="2"/>
        <v>0</v>
      </c>
      <c r="F23" s="107">
        <f t="shared" si="2"/>
        <v>0</v>
      </c>
      <c r="G23" s="65"/>
    </row>
    <row r="24" spans="1:30" s="102" customFormat="1" x14ac:dyDescent="0.25">
      <c r="A24" s="182" t="s">
        <v>60</v>
      </c>
      <c r="B24" s="348" t="s">
        <v>861</v>
      </c>
      <c r="C24" s="323">
        <v>610</v>
      </c>
      <c r="D24" s="107">
        <f>'Функц. 2025-2027'!F829</f>
        <v>570</v>
      </c>
      <c r="E24" s="107">
        <f>'Функц. 2025-2027'!H829</f>
        <v>0</v>
      </c>
      <c r="F24" s="107">
        <f>'Функц. 2025-2027'!J829</f>
        <v>0</v>
      </c>
      <c r="G24" s="65"/>
    </row>
    <row r="25" spans="1:30" x14ac:dyDescent="0.25">
      <c r="A25" s="182" t="s">
        <v>485</v>
      </c>
      <c r="B25" s="116" t="s">
        <v>311</v>
      </c>
      <c r="C25" s="271"/>
      <c r="D25" s="22">
        <f>D26+D31</f>
        <v>30948.6</v>
      </c>
      <c r="E25" s="22">
        <f>E26+E31</f>
        <v>29355.8</v>
      </c>
      <c r="F25" s="22">
        <f>F26+F31</f>
        <v>29511.7</v>
      </c>
      <c r="G25" s="22" t="e">
        <f>G26+#REF!</f>
        <v>#REF!</v>
      </c>
      <c r="H25" s="22" t="e">
        <f>H26+#REF!</f>
        <v>#REF!</v>
      </c>
      <c r="I25" s="22" t="e">
        <f>I26+#REF!</f>
        <v>#REF!</v>
      </c>
      <c r="J25" s="22" t="e">
        <f>J26+#REF!</f>
        <v>#REF!</v>
      </c>
      <c r="K25" s="22" t="e">
        <f>K26+#REF!</f>
        <v>#REF!</v>
      </c>
      <c r="L25" s="22" t="e">
        <f>L26+#REF!</f>
        <v>#REF!</v>
      </c>
      <c r="M25" s="22" t="e">
        <f>M26+#REF!</f>
        <v>#REF!</v>
      </c>
      <c r="N25" s="22" t="e">
        <f>N26+#REF!</f>
        <v>#REF!</v>
      </c>
      <c r="O25" s="22" t="e">
        <f>O26+#REF!</f>
        <v>#REF!</v>
      </c>
      <c r="P25" s="22" t="e">
        <f>P26+#REF!</f>
        <v>#REF!</v>
      </c>
      <c r="Q25" s="22" t="e">
        <f>Q26+#REF!</f>
        <v>#REF!</v>
      </c>
      <c r="R25" s="22" t="e">
        <f>R26+#REF!</f>
        <v>#REF!</v>
      </c>
      <c r="S25" s="22" t="e">
        <f>S26+#REF!</f>
        <v>#REF!</v>
      </c>
      <c r="T25" s="22" t="e">
        <f>T26+#REF!</f>
        <v>#REF!</v>
      </c>
      <c r="U25" s="22" t="e">
        <f>U26+#REF!</f>
        <v>#REF!</v>
      </c>
      <c r="V25" s="22" t="e">
        <f>V26+#REF!</f>
        <v>#REF!</v>
      </c>
      <c r="W25" s="22" t="e">
        <f>W26+#REF!</f>
        <v>#REF!</v>
      </c>
      <c r="X25" s="22" t="e">
        <f>X26+#REF!</f>
        <v>#REF!</v>
      </c>
      <c r="Y25" s="22" t="e">
        <f>Y26+#REF!</f>
        <v>#REF!</v>
      </c>
      <c r="Z25" s="22" t="e">
        <f>Z26+#REF!</f>
        <v>#REF!</v>
      </c>
      <c r="AA25" s="22" t="e">
        <f>AA26+#REF!</f>
        <v>#REF!</v>
      </c>
      <c r="AB25" s="22" t="e">
        <f>AB26+#REF!</f>
        <v>#REF!</v>
      </c>
      <c r="AC25" s="22" t="e">
        <f>AC26+#REF!</f>
        <v>#REF!</v>
      </c>
      <c r="AD25" s="22" t="e">
        <f>AD26+#REF!</f>
        <v>#REF!</v>
      </c>
    </row>
    <row r="26" spans="1:30" x14ac:dyDescent="0.25">
      <c r="A26" s="196" t="s">
        <v>312</v>
      </c>
      <c r="B26" s="116" t="s">
        <v>313</v>
      </c>
      <c r="C26" s="271"/>
      <c r="D26" s="22">
        <f t="shared" ref="D26:F28" si="3">D27</f>
        <v>30548.6</v>
      </c>
      <c r="E26" s="22">
        <f t="shared" si="3"/>
        <v>29355.8</v>
      </c>
      <c r="F26" s="22">
        <f t="shared" si="3"/>
        <v>29511.7</v>
      </c>
      <c r="G26" s="65"/>
    </row>
    <row r="27" spans="1:30" ht="31.5" x14ac:dyDescent="0.25">
      <c r="A27" s="259" t="s">
        <v>250</v>
      </c>
      <c r="B27" s="116" t="s">
        <v>251</v>
      </c>
      <c r="C27" s="271"/>
      <c r="D27" s="22">
        <f t="shared" si="3"/>
        <v>30548.6</v>
      </c>
      <c r="E27" s="22">
        <f t="shared" si="3"/>
        <v>29355.8</v>
      </c>
      <c r="F27" s="22">
        <f t="shared" si="3"/>
        <v>29511.7</v>
      </c>
      <c r="G27" s="65"/>
    </row>
    <row r="28" spans="1:30" ht="31.5" x14ac:dyDescent="0.25">
      <c r="A28" s="198" t="s">
        <v>59</v>
      </c>
      <c r="B28" s="116" t="s">
        <v>251</v>
      </c>
      <c r="C28" s="284">
        <v>600</v>
      </c>
      <c r="D28" s="22">
        <f t="shared" si="3"/>
        <v>30548.6</v>
      </c>
      <c r="E28" s="22">
        <f t="shared" si="3"/>
        <v>29355.8</v>
      </c>
      <c r="F28" s="22">
        <f t="shared" si="3"/>
        <v>29511.7</v>
      </c>
      <c r="G28" s="65"/>
    </row>
    <row r="29" spans="1:30" x14ac:dyDescent="0.25">
      <c r="A29" s="198" t="s">
        <v>60</v>
      </c>
      <c r="B29" s="116" t="s">
        <v>251</v>
      </c>
      <c r="C29" s="284">
        <v>610</v>
      </c>
      <c r="D29" s="22">
        <f>'Функц. 2025-2027'!F834</f>
        <v>30548.6</v>
      </c>
      <c r="E29" s="22">
        <f>'Функц. 2025-2027'!H834</f>
        <v>29355.8</v>
      </c>
      <c r="F29" s="22">
        <f>'Функц. 2025-2027'!J834</f>
        <v>29511.7</v>
      </c>
      <c r="G29" s="65"/>
    </row>
    <row r="30" spans="1:30" ht="31.5" x14ac:dyDescent="0.25">
      <c r="A30" s="294" t="s">
        <v>785</v>
      </c>
      <c r="B30" s="348" t="s">
        <v>788</v>
      </c>
      <c r="C30" s="318"/>
      <c r="D30" s="22">
        <f>D31</f>
        <v>400</v>
      </c>
      <c r="E30" s="22">
        <f t="shared" ref="E30:F32" si="4">E31</f>
        <v>0</v>
      </c>
      <c r="F30" s="22">
        <f t="shared" si="4"/>
        <v>0</v>
      </c>
      <c r="G30" s="65"/>
    </row>
    <row r="31" spans="1:30" x14ac:dyDescent="0.25">
      <c r="A31" s="294" t="s">
        <v>786</v>
      </c>
      <c r="B31" s="348" t="s">
        <v>787</v>
      </c>
      <c r="C31" s="488"/>
      <c r="D31" s="22">
        <f>D32</f>
        <v>400</v>
      </c>
      <c r="E31" s="22">
        <f t="shared" si="4"/>
        <v>0</v>
      </c>
      <c r="F31" s="22">
        <f t="shared" si="4"/>
        <v>0</v>
      </c>
      <c r="G31" s="65"/>
    </row>
    <row r="32" spans="1:30" ht="31.5" x14ac:dyDescent="0.25">
      <c r="A32" s="294" t="s">
        <v>59</v>
      </c>
      <c r="B32" s="348" t="s">
        <v>787</v>
      </c>
      <c r="C32" s="296">
        <v>600</v>
      </c>
      <c r="D32" s="22">
        <f>D33</f>
        <v>400</v>
      </c>
      <c r="E32" s="22">
        <f t="shared" si="4"/>
        <v>0</v>
      </c>
      <c r="F32" s="22">
        <f t="shared" si="4"/>
        <v>0</v>
      </c>
      <c r="G32" s="65"/>
    </row>
    <row r="33" spans="1:7" x14ac:dyDescent="0.25">
      <c r="A33" s="294" t="s">
        <v>60</v>
      </c>
      <c r="B33" s="348" t="s">
        <v>787</v>
      </c>
      <c r="C33" s="296">
        <v>610</v>
      </c>
      <c r="D33" s="22">
        <f>'Функц. 2025-2027'!F838</f>
        <v>400</v>
      </c>
      <c r="E33" s="22">
        <f>'Функц. 2025-2027'!H838</f>
        <v>0</v>
      </c>
      <c r="F33" s="22">
        <f>'Функц. 2025-2027'!J838</f>
        <v>0</v>
      </c>
      <c r="G33" s="65"/>
    </row>
    <row r="34" spans="1:7" x14ac:dyDescent="0.25">
      <c r="A34" s="196" t="s">
        <v>486</v>
      </c>
      <c r="B34" s="116" t="s">
        <v>138</v>
      </c>
      <c r="C34" s="391"/>
      <c r="D34" s="22">
        <f>D35+D45</f>
        <v>39268.299999999996</v>
      </c>
      <c r="E34" s="22">
        <f>E35+E45</f>
        <v>37183.199999999997</v>
      </c>
      <c r="F34" s="22">
        <f>F35+F45</f>
        <v>37369.700000000004</v>
      </c>
      <c r="G34" s="65"/>
    </row>
    <row r="35" spans="1:7" ht="31.5" x14ac:dyDescent="0.25">
      <c r="A35" s="196" t="s">
        <v>252</v>
      </c>
      <c r="B35" s="116" t="s">
        <v>139</v>
      </c>
      <c r="C35" s="284"/>
      <c r="D35" s="22">
        <f>D36+D39+D42</f>
        <v>38268.299999999996</v>
      </c>
      <c r="E35" s="22">
        <f>E36+E39+E42</f>
        <v>37183.199999999997</v>
      </c>
      <c r="F35" s="22">
        <f>F36+F39+F42</f>
        <v>37369.700000000004</v>
      </c>
      <c r="G35" s="65"/>
    </row>
    <row r="36" spans="1:7" ht="31.5" x14ac:dyDescent="0.25">
      <c r="A36" s="259" t="s">
        <v>733</v>
      </c>
      <c r="B36" s="116" t="s">
        <v>253</v>
      </c>
      <c r="C36" s="284"/>
      <c r="D36" s="22">
        <f t="shared" ref="D36:F37" si="5">D37</f>
        <v>1000</v>
      </c>
      <c r="E36" s="22">
        <f t="shared" si="5"/>
        <v>1000</v>
      </c>
      <c r="F36" s="22">
        <f t="shared" si="5"/>
        <v>1000</v>
      </c>
      <c r="G36" s="65"/>
    </row>
    <row r="37" spans="1:7" ht="31.5" x14ac:dyDescent="0.25">
      <c r="A37" s="198" t="s">
        <v>59</v>
      </c>
      <c r="B37" s="116" t="s">
        <v>253</v>
      </c>
      <c r="C37" s="284">
        <v>600</v>
      </c>
      <c r="D37" s="22">
        <f t="shared" si="5"/>
        <v>1000</v>
      </c>
      <c r="E37" s="22">
        <f t="shared" si="5"/>
        <v>1000</v>
      </c>
      <c r="F37" s="22">
        <f t="shared" si="5"/>
        <v>1000</v>
      </c>
      <c r="G37" s="65"/>
    </row>
    <row r="38" spans="1:7" x14ac:dyDescent="0.25">
      <c r="A38" s="198" t="s">
        <v>60</v>
      </c>
      <c r="B38" s="116" t="s">
        <v>253</v>
      </c>
      <c r="C38" s="284">
        <v>610</v>
      </c>
      <c r="D38" s="22">
        <f>'Функц. 2025-2027'!F843</f>
        <v>1000</v>
      </c>
      <c r="E38" s="22">
        <f>'Функц. 2025-2027'!H843</f>
        <v>1000</v>
      </c>
      <c r="F38" s="22">
        <f>'Функц. 2025-2027'!J843</f>
        <v>1000</v>
      </c>
      <c r="G38" s="65"/>
    </row>
    <row r="39" spans="1:7" ht="31.5" x14ac:dyDescent="0.25">
      <c r="A39" s="198" t="s">
        <v>254</v>
      </c>
      <c r="B39" s="116" t="s">
        <v>255</v>
      </c>
      <c r="C39" s="284"/>
      <c r="D39" s="22">
        <f t="shared" ref="D39:F40" si="6">D40</f>
        <v>36893.599999999999</v>
      </c>
      <c r="E39" s="22">
        <f t="shared" si="6"/>
        <v>35800.5</v>
      </c>
      <c r="F39" s="22">
        <f t="shared" si="6"/>
        <v>35991.4</v>
      </c>
      <c r="G39" s="65"/>
    </row>
    <row r="40" spans="1:7" ht="31.5" x14ac:dyDescent="0.25">
      <c r="A40" s="198" t="s">
        <v>59</v>
      </c>
      <c r="B40" s="116" t="s">
        <v>255</v>
      </c>
      <c r="C40" s="284">
        <v>600</v>
      </c>
      <c r="D40" s="22">
        <f t="shared" si="6"/>
        <v>36893.599999999999</v>
      </c>
      <c r="E40" s="22">
        <f t="shared" si="6"/>
        <v>35800.5</v>
      </c>
      <c r="F40" s="22">
        <f t="shared" si="6"/>
        <v>35991.4</v>
      </c>
      <c r="G40" s="65"/>
    </row>
    <row r="41" spans="1:7" x14ac:dyDescent="0.25">
      <c r="A41" s="198" t="s">
        <v>60</v>
      </c>
      <c r="B41" s="116" t="s">
        <v>255</v>
      </c>
      <c r="C41" s="284">
        <v>610</v>
      </c>
      <c r="D41" s="22">
        <f>'Функц. 2025-2027'!F846</f>
        <v>36893.599999999999</v>
      </c>
      <c r="E41" s="22">
        <f>'Функц. 2025-2027'!H846</f>
        <v>35800.5</v>
      </c>
      <c r="F41" s="22">
        <f>'Функц. 2025-2027'!J846</f>
        <v>35991.4</v>
      </c>
      <c r="G41" s="65"/>
    </row>
    <row r="42" spans="1:7" ht="31.5" x14ac:dyDescent="0.25">
      <c r="A42" s="252" t="s">
        <v>496</v>
      </c>
      <c r="B42" s="116" t="s">
        <v>394</v>
      </c>
      <c r="C42" s="284"/>
      <c r="D42" s="22">
        <f t="shared" ref="D42:F43" si="7">D43</f>
        <v>374.70000000000005</v>
      </c>
      <c r="E42" s="22">
        <f t="shared" si="7"/>
        <v>382.7</v>
      </c>
      <c r="F42" s="22">
        <f t="shared" si="7"/>
        <v>378.3</v>
      </c>
      <c r="G42" s="65"/>
    </row>
    <row r="43" spans="1:7" ht="31.5" x14ac:dyDescent="0.25">
      <c r="A43" s="252" t="s">
        <v>59</v>
      </c>
      <c r="B43" s="116" t="s">
        <v>394</v>
      </c>
      <c r="C43" s="284">
        <v>600</v>
      </c>
      <c r="D43" s="22">
        <f t="shared" si="7"/>
        <v>374.70000000000005</v>
      </c>
      <c r="E43" s="22">
        <f t="shared" si="7"/>
        <v>382.7</v>
      </c>
      <c r="F43" s="22">
        <f t="shared" si="7"/>
        <v>378.3</v>
      </c>
      <c r="G43" s="65"/>
    </row>
    <row r="44" spans="1:7" x14ac:dyDescent="0.25">
      <c r="A44" s="252" t="s">
        <v>60</v>
      </c>
      <c r="B44" s="116" t="s">
        <v>394</v>
      </c>
      <c r="C44" s="284">
        <v>610</v>
      </c>
      <c r="D44" s="22">
        <f>'Функц. 2025-2027'!F849</f>
        <v>374.70000000000005</v>
      </c>
      <c r="E44" s="22">
        <f>'Функц. 2025-2027'!H849</f>
        <v>382.7</v>
      </c>
      <c r="F44" s="22">
        <f>'Функц. 2025-2027'!J849</f>
        <v>378.3</v>
      </c>
      <c r="G44" s="65"/>
    </row>
    <row r="45" spans="1:7" ht="31.5" x14ac:dyDescent="0.25">
      <c r="A45" s="446" t="s">
        <v>852</v>
      </c>
      <c r="B45" s="348" t="s">
        <v>854</v>
      </c>
      <c r="C45" s="297"/>
      <c r="D45" s="22">
        <f t="shared" ref="D45:F47" si="8">D46</f>
        <v>1000</v>
      </c>
      <c r="E45" s="22">
        <f t="shared" si="8"/>
        <v>0</v>
      </c>
      <c r="F45" s="22">
        <f t="shared" si="8"/>
        <v>0</v>
      </c>
      <c r="G45" s="65"/>
    </row>
    <row r="46" spans="1:7" x14ac:dyDescent="0.25">
      <c r="A46" s="446" t="s">
        <v>853</v>
      </c>
      <c r="B46" s="348" t="s">
        <v>855</v>
      </c>
      <c r="C46" s="297"/>
      <c r="D46" s="22">
        <f t="shared" si="8"/>
        <v>1000</v>
      </c>
      <c r="E46" s="22">
        <f t="shared" si="8"/>
        <v>0</v>
      </c>
      <c r="F46" s="22">
        <f t="shared" si="8"/>
        <v>0</v>
      </c>
      <c r="G46" s="65"/>
    </row>
    <row r="47" spans="1:7" ht="31.5" x14ac:dyDescent="0.25">
      <c r="A47" s="446" t="s">
        <v>59</v>
      </c>
      <c r="B47" s="348" t="s">
        <v>855</v>
      </c>
      <c r="C47" s="297">
        <v>600</v>
      </c>
      <c r="D47" s="22">
        <f t="shared" si="8"/>
        <v>1000</v>
      </c>
      <c r="E47" s="22">
        <f t="shared" si="8"/>
        <v>0</v>
      </c>
      <c r="F47" s="22">
        <f t="shared" si="8"/>
        <v>0</v>
      </c>
      <c r="G47" s="65"/>
    </row>
    <row r="48" spans="1:7" x14ac:dyDescent="0.25">
      <c r="A48" s="446" t="s">
        <v>60</v>
      </c>
      <c r="B48" s="348" t="s">
        <v>855</v>
      </c>
      <c r="C48" s="297">
        <v>610</v>
      </c>
      <c r="D48" s="22">
        <f>'Функц. 2025-2027'!F853</f>
        <v>1000</v>
      </c>
      <c r="E48" s="22">
        <f>'Функц. 2025-2027'!H853</f>
        <v>0</v>
      </c>
      <c r="F48" s="22">
        <f>'Функц. 2025-2027'!J853</f>
        <v>0</v>
      </c>
      <c r="G48" s="65"/>
    </row>
    <row r="49" spans="1:30" ht="31.5" x14ac:dyDescent="0.25">
      <c r="A49" s="182" t="s">
        <v>487</v>
      </c>
      <c r="B49" s="116" t="s">
        <v>256</v>
      </c>
      <c r="C49" s="284"/>
      <c r="D49" s="22">
        <f>D50+D71+D67</f>
        <v>133416.1</v>
      </c>
      <c r="E49" s="22">
        <f>E50+E71+E67</f>
        <v>80085</v>
      </c>
      <c r="F49" s="22">
        <f>F50+F71+F67</f>
        <v>64032.5</v>
      </c>
      <c r="G49" s="65"/>
    </row>
    <row r="50" spans="1:30" x14ac:dyDescent="0.25">
      <c r="A50" s="182" t="s">
        <v>348</v>
      </c>
      <c r="B50" s="116" t="s">
        <v>488</v>
      </c>
      <c r="C50" s="284"/>
      <c r="D50" s="22">
        <f>D51+D60</f>
        <v>119130.3</v>
      </c>
      <c r="E50" s="22">
        <f>E51+E60</f>
        <v>79739.5</v>
      </c>
      <c r="F50" s="22">
        <f>F51+F60</f>
        <v>64032.5</v>
      </c>
      <c r="G50" s="65"/>
    </row>
    <row r="51" spans="1:30" x14ac:dyDescent="0.25">
      <c r="A51" s="259" t="s">
        <v>257</v>
      </c>
      <c r="B51" s="116" t="s">
        <v>547</v>
      </c>
      <c r="C51" s="284"/>
      <c r="D51" s="22">
        <f>D52+D57</f>
        <v>25585</v>
      </c>
      <c r="E51" s="22">
        <f>E52+E57</f>
        <v>130</v>
      </c>
      <c r="F51" s="22">
        <f>F52+F57</f>
        <v>0</v>
      </c>
      <c r="G51" s="65"/>
    </row>
    <row r="52" spans="1:30" ht="31.5" x14ac:dyDescent="0.25">
      <c r="A52" s="198" t="s">
        <v>258</v>
      </c>
      <c r="B52" s="116" t="s">
        <v>548</v>
      </c>
      <c r="C52" s="284"/>
      <c r="D52" s="22">
        <f>D55+D53</f>
        <v>25050</v>
      </c>
      <c r="E52" s="22">
        <f t="shared" ref="E52:AD52" si="9">E55+E53</f>
        <v>130</v>
      </c>
      <c r="F52" s="22">
        <f t="shared" si="9"/>
        <v>0</v>
      </c>
      <c r="G52" s="22">
        <f t="shared" si="9"/>
        <v>0</v>
      </c>
      <c r="H52" s="22">
        <f t="shared" si="9"/>
        <v>0</v>
      </c>
      <c r="I52" s="22">
        <f t="shared" si="9"/>
        <v>0</v>
      </c>
      <c r="J52" s="22">
        <f t="shared" si="9"/>
        <v>0</v>
      </c>
      <c r="K52" s="22">
        <f t="shared" si="9"/>
        <v>0</v>
      </c>
      <c r="L52" s="22">
        <f t="shared" si="9"/>
        <v>0</v>
      </c>
      <c r="M52" s="22">
        <f t="shared" si="9"/>
        <v>0</v>
      </c>
      <c r="N52" s="22">
        <f t="shared" si="9"/>
        <v>0</v>
      </c>
      <c r="O52" s="22">
        <f t="shared" si="9"/>
        <v>0</v>
      </c>
      <c r="P52" s="22">
        <f t="shared" si="9"/>
        <v>0</v>
      </c>
      <c r="Q52" s="22">
        <f t="shared" si="9"/>
        <v>0</v>
      </c>
      <c r="R52" s="22">
        <f t="shared" si="9"/>
        <v>0</v>
      </c>
      <c r="S52" s="22">
        <f t="shared" si="9"/>
        <v>0</v>
      </c>
      <c r="T52" s="22">
        <f t="shared" si="9"/>
        <v>0</v>
      </c>
      <c r="U52" s="22">
        <f t="shared" si="9"/>
        <v>0</v>
      </c>
      <c r="V52" s="22">
        <f t="shared" si="9"/>
        <v>0</v>
      </c>
      <c r="W52" s="22">
        <f t="shared" si="9"/>
        <v>0</v>
      </c>
      <c r="X52" s="22">
        <f t="shared" si="9"/>
        <v>0</v>
      </c>
      <c r="Y52" s="22">
        <f t="shared" si="9"/>
        <v>0</v>
      </c>
      <c r="Z52" s="22">
        <f t="shared" si="9"/>
        <v>0</v>
      </c>
      <c r="AA52" s="22">
        <f t="shared" si="9"/>
        <v>0</v>
      </c>
      <c r="AB52" s="22">
        <f t="shared" si="9"/>
        <v>0</v>
      </c>
      <c r="AC52" s="22">
        <f t="shared" si="9"/>
        <v>0</v>
      </c>
      <c r="AD52" s="22">
        <f t="shared" si="9"/>
        <v>0</v>
      </c>
    </row>
    <row r="53" spans="1:30" x14ac:dyDescent="0.25">
      <c r="A53" s="252" t="s">
        <v>118</v>
      </c>
      <c r="B53" s="116" t="s">
        <v>548</v>
      </c>
      <c r="C53" s="284">
        <v>200</v>
      </c>
      <c r="D53" s="22">
        <f>D54</f>
        <v>2014.5</v>
      </c>
      <c r="E53" s="22">
        <f>E54</f>
        <v>130</v>
      </c>
      <c r="F53" s="22">
        <f>F54</f>
        <v>0</v>
      </c>
      <c r="G53" s="65"/>
    </row>
    <row r="54" spans="1:30" x14ac:dyDescent="0.25">
      <c r="A54" s="252" t="s">
        <v>51</v>
      </c>
      <c r="B54" s="116" t="s">
        <v>548</v>
      </c>
      <c r="C54" s="284">
        <v>240</v>
      </c>
      <c r="D54" s="22">
        <f>'Функц. 2025-2027'!F859</f>
        <v>2014.5</v>
      </c>
      <c r="E54" s="22">
        <f>'Функц. 2025-2027'!H859</f>
        <v>130</v>
      </c>
      <c r="F54" s="22">
        <f>'Функц. 2025-2027'!J859</f>
        <v>0</v>
      </c>
      <c r="G54" s="65"/>
    </row>
    <row r="55" spans="1:30" ht="31.5" x14ac:dyDescent="0.25">
      <c r="A55" s="198" t="s">
        <v>59</v>
      </c>
      <c r="B55" s="116" t="s">
        <v>548</v>
      </c>
      <c r="C55" s="284">
        <v>600</v>
      </c>
      <c r="D55" s="22">
        <f>D56</f>
        <v>23035.5</v>
      </c>
      <c r="E55" s="22">
        <f>E56</f>
        <v>0</v>
      </c>
      <c r="F55" s="22">
        <f>F56</f>
        <v>0</v>
      </c>
      <c r="G55" s="65"/>
    </row>
    <row r="56" spans="1:30" x14ac:dyDescent="0.25">
      <c r="A56" s="198" t="s">
        <v>60</v>
      </c>
      <c r="B56" s="116" t="s">
        <v>548</v>
      </c>
      <c r="C56" s="284">
        <v>610</v>
      </c>
      <c r="D56" s="22">
        <f>'Функц. 2025-2027'!F861</f>
        <v>23035.5</v>
      </c>
      <c r="E56" s="22">
        <f>'Функц. 2025-2027'!H861</f>
        <v>0</v>
      </c>
      <c r="F56" s="22">
        <f>'Функц. 2025-2027'!J861</f>
        <v>0</v>
      </c>
      <c r="G56" s="65"/>
    </row>
    <row r="57" spans="1:30" ht="21.75" customHeight="1" x14ac:dyDescent="0.25">
      <c r="A57" s="255" t="s">
        <v>259</v>
      </c>
      <c r="B57" s="116" t="s">
        <v>549</v>
      </c>
      <c r="C57" s="284"/>
      <c r="D57" s="22">
        <f t="shared" ref="D57:F58" si="10">D58</f>
        <v>535</v>
      </c>
      <c r="E57" s="22">
        <f t="shared" si="10"/>
        <v>0</v>
      </c>
      <c r="F57" s="22">
        <f t="shared" si="10"/>
        <v>0</v>
      </c>
      <c r="G57" s="65"/>
    </row>
    <row r="58" spans="1:30" ht="31.5" x14ac:dyDescent="0.25">
      <c r="A58" s="198" t="s">
        <v>59</v>
      </c>
      <c r="B58" s="116" t="s">
        <v>549</v>
      </c>
      <c r="C58" s="284">
        <v>600</v>
      </c>
      <c r="D58" s="22">
        <f t="shared" si="10"/>
        <v>535</v>
      </c>
      <c r="E58" s="22">
        <f t="shared" si="10"/>
        <v>0</v>
      </c>
      <c r="F58" s="22">
        <f t="shared" si="10"/>
        <v>0</v>
      </c>
      <c r="G58" s="65"/>
    </row>
    <row r="59" spans="1:30" x14ac:dyDescent="0.25">
      <c r="A59" s="198" t="s">
        <v>60</v>
      </c>
      <c r="B59" s="116" t="s">
        <v>549</v>
      </c>
      <c r="C59" s="284">
        <v>610</v>
      </c>
      <c r="D59" s="22">
        <f>'Функц. 2025-2027'!F864</f>
        <v>535</v>
      </c>
      <c r="E59" s="22">
        <f>'Функц. 2025-2027'!H864</f>
        <v>0</v>
      </c>
      <c r="F59" s="22">
        <f>'Функц. 2025-2027'!J864</f>
        <v>0</v>
      </c>
      <c r="G59" s="65"/>
    </row>
    <row r="60" spans="1:30" ht="31.5" x14ac:dyDescent="0.25">
      <c r="A60" s="183" t="s">
        <v>349</v>
      </c>
      <c r="B60" s="116" t="s">
        <v>489</v>
      </c>
      <c r="C60" s="284"/>
      <c r="D60" s="22">
        <f>D61+D64</f>
        <v>93545.3</v>
      </c>
      <c r="E60" s="22">
        <f>E61+E64</f>
        <v>79609.5</v>
      </c>
      <c r="F60" s="22">
        <f>F61+F64</f>
        <v>64032.5</v>
      </c>
      <c r="G60" s="65"/>
    </row>
    <row r="61" spans="1:30" ht="47.25" x14ac:dyDescent="0.25">
      <c r="A61" s="255" t="str">
        <f>'Функц. 2025-2027'!A866</f>
        <v>Расходы на обеспечение деятельности (оказание услуг) муниципальных учреждений - культурно-досуговые учреждения (Расходы на выполнение муниципального задания муниципальных учреждений- МУ ДК "Мир")</v>
      </c>
      <c r="B61" s="116" t="s">
        <v>490</v>
      </c>
      <c r="C61" s="284"/>
      <c r="D61" s="22">
        <f t="shared" ref="D61:F62" si="11">D62</f>
        <v>41851.599999999999</v>
      </c>
      <c r="E61" s="22">
        <f t="shared" si="11"/>
        <v>37761.300000000003</v>
      </c>
      <c r="F61" s="22">
        <f t="shared" si="11"/>
        <v>21859.200000000001</v>
      </c>
      <c r="G61" s="65"/>
    </row>
    <row r="62" spans="1:30" ht="31.5" x14ac:dyDescent="0.25">
      <c r="A62" s="255" t="str">
        <f>'Функц. 2025-2027'!A867</f>
        <v>Предоставление субсидий бюджетным, автономным учреждениям и иным некоммерческим организациям</v>
      </c>
      <c r="B62" s="116" t="s">
        <v>490</v>
      </c>
      <c r="C62" s="284">
        <v>600</v>
      </c>
      <c r="D62" s="22">
        <f t="shared" si="11"/>
        <v>41851.599999999999</v>
      </c>
      <c r="E62" s="22">
        <f t="shared" si="11"/>
        <v>37761.300000000003</v>
      </c>
      <c r="F62" s="22">
        <f t="shared" si="11"/>
        <v>21859.200000000001</v>
      </c>
      <c r="G62" s="65"/>
    </row>
    <row r="63" spans="1:30" x14ac:dyDescent="0.25">
      <c r="A63" s="255" t="str">
        <f>'Функц. 2025-2027'!A868</f>
        <v>Субсидии бюджетным учреждениям</v>
      </c>
      <c r="B63" s="116" t="s">
        <v>490</v>
      </c>
      <c r="C63" s="284">
        <v>610</v>
      </c>
      <c r="D63" s="22">
        <f>'ведом. 2025-2027'!AD462</f>
        <v>41851.599999999999</v>
      </c>
      <c r="E63" s="22">
        <f>'ведом. 2025-2027'!AE462</f>
        <v>37761.300000000003</v>
      </c>
      <c r="F63" s="22">
        <f>'ведом. 2025-2027'!AF462</f>
        <v>21859.200000000001</v>
      </c>
      <c r="G63" s="65"/>
    </row>
    <row r="64" spans="1:30" ht="47.25" x14ac:dyDescent="0.25">
      <c r="A64" s="255" t="str">
        <f>'Функц. 2025-2027'!A869</f>
        <v>Расходы на обеспечение деятельности (оказание услуг) муниципальных учреждений - культурно-досуговые учреждения (Расходы на выполнение муниципального задания муниципальных учреждений- МУ ДК "Центр молодежи")</v>
      </c>
      <c r="B64" s="116" t="s">
        <v>491</v>
      </c>
      <c r="C64" s="284"/>
      <c r="D64" s="22">
        <f t="shared" ref="D64:F65" si="12">D65</f>
        <v>51693.700000000004</v>
      </c>
      <c r="E64" s="22">
        <f t="shared" si="12"/>
        <v>41848.199999999997</v>
      </c>
      <c r="F64" s="22">
        <f t="shared" si="12"/>
        <v>42173.3</v>
      </c>
      <c r="G64" s="65"/>
    </row>
    <row r="65" spans="1:7" ht="31.5" x14ac:dyDescent="0.25">
      <c r="A65" s="255" t="str">
        <f>'Функц. 2025-2027'!A870</f>
        <v>Предоставление субсидий бюджетным, автономным учреждениям и иным некоммерческим организациям</v>
      </c>
      <c r="B65" s="116" t="s">
        <v>491</v>
      </c>
      <c r="C65" s="284">
        <v>600</v>
      </c>
      <c r="D65" s="22">
        <f t="shared" si="12"/>
        <v>51693.700000000004</v>
      </c>
      <c r="E65" s="22">
        <f t="shared" si="12"/>
        <v>41848.199999999997</v>
      </c>
      <c r="F65" s="22">
        <f t="shared" si="12"/>
        <v>42173.3</v>
      </c>
      <c r="G65" s="65"/>
    </row>
    <row r="66" spans="1:7" x14ac:dyDescent="0.25">
      <c r="A66" s="255" t="str">
        <f>'Функц. 2025-2027'!A871</f>
        <v>Субсидии бюджетным учреждениям</v>
      </c>
      <c r="B66" s="116" t="s">
        <v>491</v>
      </c>
      <c r="C66" s="284">
        <v>610</v>
      </c>
      <c r="D66" s="22">
        <f>'ведом. 2025-2027'!AD465</f>
        <v>51693.700000000004</v>
      </c>
      <c r="E66" s="22">
        <f>'ведом. 2025-2027'!AE465</f>
        <v>41848.199999999997</v>
      </c>
      <c r="F66" s="22">
        <f>'ведом. 2025-2027'!AF465</f>
        <v>42173.3</v>
      </c>
      <c r="G66" s="65"/>
    </row>
    <row r="67" spans="1:7" ht="47.25" x14ac:dyDescent="0.25">
      <c r="A67" s="294" t="s">
        <v>789</v>
      </c>
      <c r="B67" s="348" t="s">
        <v>792</v>
      </c>
      <c r="C67" s="297"/>
      <c r="D67" s="22">
        <f t="shared" ref="D67:F69" si="13">D68</f>
        <v>5995.3</v>
      </c>
      <c r="E67" s="22">
        <f t="shared" si="13"/>
        <v>0</v>
      </c>
      <c r="F67" s="22">
        <f t="shared" si="13"/>
        <v>0</v>
      </c>
      <c r="G67" s="65"/>
    </row>
    <row r="68" spans="1:7" x14ac:dyDescent="0.25">
      <c r="A68" s="294" t="s">
        <v>790</v>
      </c>
      <c r="B68" s="348" t="s">
        <v>791</v>
      </c>
      <c r="C68" s="297"/>
      <c r="D68" s="22">
        <f t="shared" si="13"/>
        <v>5995.3</v>
      </c>
      <c r="E68" s="22">
        <f t="shared" si="13"/>
        <v>0</v>
      </c>
      <c r="F68" s="22">
        <f t="shared" si="13"/>
        <v>0</v>
      </c>
      <c r="G68" s="65"/>
    </row>
    <row r="69" spans="1:7" ht="31.5" x14ac:dyDescent="0.25">
      <c r="A69" s="294" t="s">
        <v>59</v>
      </c>
      <c r="B69" s="348" t="s">
        <v>791</v>
      </c>
      <c r="C69" s="297">
        <v>600</v>
      </c>
      <c r="D69" s="22">
        <f t="shared" si="13"/>
        <v>5995.3</v>
      </c>
      <c r="E69" s="22">
        <f t="shared" si="13"/>
        <v>0</v>
      </c>
      <c r="F69" s="22">
        <f t="shared" si="13"/>
        <v>0</v>
      </c>
      <c r="G69" s="65"/>
    </row>
    <row r="70" spans="1:7" x14ac:dyDescent="0.25">
      <c r="A70" s="294" t="s">
        <v>60</v>
      </c>
      <c r="B70" s="348" t="s">
        <v>791</v>
      </c>
      <c r="C70" s="297">
        <v>610</v>
      </c>
      <c r="D70" s="22">
        <f>'Функц. 2025-2027'!F874</f>
        <v>5995.3</v>
      </c>
      <c r="E70" s="22">
        <f>'Функц. 2025-2027'!H874</f>
        <v>0</v>
      </c>
      <c r="F70" s="22">
        <f>'Функц. 2025-2027'!J874</f>
        <v>0</v>
      </c>
      <c r="G70" s="65"/>
    </row>
    <row r="71" spans="1:7" ht="31.5" x14ac:dyDescent="0.25">
      <c r="A71" s="255" t="s">
        <v>624</v>
      </c>
      <c r="B71" s="116" t="s">
        <v>625</v>
      </c>
      <c r="C71" s="284"/>
      <c r="D71" s="22">
        <f>D75+D72</f>
        <v>8290.5</v>
      </c>
      <c r="E71" s="22">
        <f t="shared" ref="E71:F71" si="14">E75+E72</f>
        <v>345.5</v>
      </c>
      <c r="F71" s="22">
        <f t="shared" si="14"/>
        <v>0</v>
      </c>
      <c r="G71" s="65"/>
    </row>
    <row r="72" spans="1:7" ht="31.5" x14ac:dyDescent="0.25">
      <c r="A72" s="450" t="s">
        <v>893</v>
      </c>
      <c r="B72" s="348" t="s">
        <v>901</v>
      </c>
      <c r="C72" s="284"/>
      <c r="D72" s="22">
        <f>D73</f>
        <v>6850</v>
      </c>
      <c r="E72" s="22">
        <f t="shared" ref="E72:F73" si="15">E73</f>
        <v>0</v>
      </c>
      <c r="F72" s="22">
        <f t="shared" si="15"/>
        <v>0</v>
      </c>
      <c r="G72" s="65"/>
    </row>
    <row r="73" spans="1:7" ht="31.5" x14ac:dyDescent="0.25">
      <c r="A73" s="294" t="s">
        <v>59</v>
      </c>
      <c r="B73" s="348" t="s">
        <v>901</v>
      </c>
      <c r="C73" s="284"/>
      <c r="D73" s="22">
        <f>D74</f>
        <v>6850</v>
      </c>
      <c r="E73" s="22">
        <f t="shared" si="15"/>
        <v>0</v>
      </c>
      <c r="F73" s="22">
        <f t="shared" si="15"/>
        <v>0</v>
      </c>
      <c r="G73" s="65"/>
    </row>
    <row r="74" spans="1:7" x14ac:dyDescent="0.25">
      <c r="A74" s="294" t="s">
        <v>60</v>
      </c>
      <c r="B74" s="348" t="s">
        <v>901</v>
      </c>
      <c r="C74" s="284"/>
      <c r="D74" s="22">
        <f>'Функц. 2025-2027'!F878</f>
        <v>6850</v>
      </c>
      <c r="E74" s="22">
        <f>'Функц. 2025-2027'!H878</f>
        <v>0</v>
      </c>
      <c r="F74" s="22">
        <f>'Функц. 2025-2027'!J878</f>
        <v>0</v>
      </c>
      <c r="G74" s="65"/>
    </row>
    <row r="75" spans="1:7" ht="31.5" x14ac:dyDescent="0.25">
      <c r="A75" s="255" t="s">
        <v>626</v>
      </c>
      <c r="B75" s="116" t="s">
        <v>627</v>
      </c>
      <c r="C75" s="284"/>
      <c r="D75" s="22">
        <f>D76</f>
        <v>1440.5</v>
      </c>
      <c r="E75" s="22">
        <f t="shared" ref="E75:F76" si="16">E76</f>
        <v>345.5</v>
      </c>
      <c r="F75" s="22">
        <f t="shared" si="16"/>
        <v>0</v>
      </c>
      <c r="G75" s="65"/>
    </row>
    <row r="76" spans="1:7" ht="31.5" x14ac:dyDescent="0.25">
      <c r="A76" s="255" t="s">
        <v>59</v>
      </c>
      <c r="B76" s="116" t="s">
        <v>627</v>
      </c>
      <c r="C76" s="284">
        <v>600</v>
      </c>
      <c r="D76" s="22">
        <f>D77</f>
        <v>1440.5</v>
      </c>
      <c r="E76" s="22">
        <f t="shared" si="16"/>
        <v>345.5</v>
      </c>
      <c r="F76" s="22">
        <f t="shared" si="16"/>
        <v>0</v>
      </c>
      <c r="G76" s="65"/>
    </row>
    <row r="77" spans="1:7" x14ac:dyDescent="0.25">
      <c r="A77" s="255" t="s">
        <v>60</v>
      </c>
      <c r="B77" s="116" t="s">
        <v>627</v>
      </c>
      <c r="C77" s="284">
        <v>610</v>
      </c>
      <c r="D77" s="22">
        <f>'Функц. 2025-2027'!F881</f>
        <v>1440.5</v>
      </c>
      <c r="E77" s="22">
        <f>'Функц. 2025-2027'!H881</f>
        <v>345.5</v>
      </c>
      <c r="F77" s="22">
        <f>'Функц. 2025-2027'!J881</f>
        <v>0</v>
      </c>
      <c r="G77" s="65"/>
    </row>
    <row r="78" spans="1:7" x14ac:dyDescent="0.25">
      <c r="A78" s="255" t="s">
        <v>492</v>
      </c>
      <c r="B78" s="116" t="s">
        <v>376</v>
      </c>
      <c r="C78" s="284"/>
      <c r="D78" s="22">
        <f>D79+D90+D83</f>
        <v>80893.600000000006</v>
      </c>
      <c r="E78" s="22">
        <f>E79+E90+E83</f>
        <v>43856</v>
      </c>
      <c r="F78" s="22">
        <f>F79+F90+F83</f>
        <v>43856</v>
      </c>
      <c r="G78" s="65"/>
    </row>
    <row r="79" spans="1:7" ht="33.75" customHeight="1" x14ac:dyDescent="0.25">
      <c r="A79" s="255" t="s">
        <v>418</v>
      </c>
      <c r="B79" s="116" t="s">
        <v>377</v>
      </c>
      <c r="C79" s="271"/>
      <c r="D79" s="22">
        <f t="shared" ref="D79:F81" si="17">D80</f>
        <v>72348.100000000006</v>
      </c>
      <c r="E79" s="22">
        <f t="shared" si="17"/>
        <v>43856</v>
      </c>
      <c r="F79" s="22">
        <f t="shared" si="17"/>
        <v>43856</v>
      </c>
      <c r="G79" s="65"/>
    </row>
    <row r="80" spans="1:7" ht="31.5" x14ac:dyDescent="0.25">
      <c r="A80" s="252" t="s">
        <v>375</v>
      </c>
      <c r="B80" s="116" t="s">
        <v>378</v>
      </c>
      <c r="C80" s="271"/>
      <c r="D80" s="22">
        <f t="shared" si="17"/>
        <v>72348.100000000006</v>
      </c>
      <c r="E80" s="22">
        <f t="shared" si="17"/>
        <v>43856</v>
      </c>
      <c r="F80" s="22">
        <f t="shared" si="17"/>
        <v>43856</v>
      </c>
      <c r="G80" s="65"/>
    </row>
    <row r="81" spans="1:30" ht="31.5" x14ac:dyDescent="0.25">
      <c r="A81" s="255" t="s">
        <v>59</v>
      </c>
      <c r="B81" s="116" t="s">
        <v>378</v>
      </c>
      <c r="C81" s="271">
        <v>600</v>
      </c>
      <c r="D81" s="22">
        <f t="shared" si="17"/>
        <v>72348.100000000006</v>
      </c>
      <c r="E81" s="22">
        <f t="shared" si="17"/>
        <v>43856</v>
      </c>
      <c r="F81" s="22">
        <f t="shared" si="17"/>
        <v>43856</v>
      </c>
      <c r="G81" s="65"/>
    </row>
    <row r="82" spans="1:30" x14ac:dyDescent="0.25">
      <c r="A82" s="255" t="s">
        <v>60</v>
      </c>
      <c r="B82" s="116" t="s">
        <v>378</v>
      </c>
      <c r="C82" s="271">
        <v>610</v>
      </c>
      <c r="D82" s="22">
        <f>'Функц. 2025-2027'!F721</f>
        <v>72348.100000000006</v>
      </c>
      <c r="E82" s="22">
        <f>'Функц. 2025-2027'!H721</f>
        <v>43856</v>
      </c>
      <c r="F82" s="22">
        <f>'Функц. 2025-2027'!J721</f>
        <v>43856</v>
      </c>
      <c r="G82" s="65"/>
    </row>
    <row r="83" spans="1:30" ht="31.5" x14ac:dyDescent="0.25">
      <c r="A83" s="294" t="s">
        <v>722</v>
      </c>
      <c r="B83" s="409" t="s">
        <v>723</v>
      </c>
      <c r="C83" s="298"/>
      <c r="D83" s="22">
        <f>D87+D84</f>
        <v>2528.4</v>
      </c>
      <c r="E83" s="22">
        <f t="shared" ref="E83:AD83" si="18">E87+E84</f>
        <v>0</v>
      </c>
      <c r="F83" s="22">
        <f t="shared" si="18"/>
        <v>0</v>
      </c>
      <c r="G83" s="22">
        <f t="shared" si="18"/>
        <v>0</v>
      </c>
      <c r="H83" s="22">
        <f t="shared" si="18"/>
        <v>0</v>
      </c>
      <c r="I83" s="22">
        <f t="shared" si="18"/>
        <v>0</v>
      </c>
      <c r="J83" s="22">
        <f t="shared" si="18"/>
        <v>0</v>
      </c>
      <c r="K83" s="22">
        <f t="shared" si="18"/>
        <v>0</v>
      </c>
      <c r="L83" s="22">
        <f t="shared" si="18"/>
        <v>0</v>
      </c>
      <c r="M83" s="22">
        <f t="shared" si="18"/>
        <v>0</v>
      </c>
      <c r="N83" s="22">
        <f t="shared" si="18"/>
        <v>0</v>
      </c>
      <c r="O83" s="22">
        <f t="shared" si="18"/>
        <v>0</v>
      </c>
      <c r="P83" s="22">
        <f t="shared" si="18"/>
        <v>0</v>
      </c>
      <c r="Q83" s="22">
        <f t="shared" si="18"/>
        <v>0</v>
      </c>
      <c r="R83" s="22">
        <f t="shared" si="18"/>
        <v>0</v>
      </c>
      <c r="S83" s="22">
        <f t="shared" si="18"/>
        <v>0</v>
      </c>
      <c r="T83" s="22">
        <f t="shared" si="18"/>
        <v>0</v>
      </c>
      <c r="U83" s="22">
        <f t="shared" si="18"/>
        <v>0</v>
      </c>
      <c r="V83" s="22">
        <f t="shared" si="18"/>
        <v>0</v>
      </c>
      <c r="W83" s="22">
        <f t="shared" si="18"/>
        <v>0</v>
      </c>
      <c r="X83" s="22">
        <f t="shared" si="18"/>
        <v>0</v>
      </c>
      <c r="Y83" s="22">
        <f t="shared" si="18"/>
        <v>0</v>
      </c>
      <c r="Z83" s="22">
        <f t="shared" si="18"/>
        <v>0</v>
      </c>
      <c r="AA83" s="22">
        <f t="shared" si="18"/>
        <v>0</v>
      </c>
      <c r="AB83" s="22">
        <f t="shared" si="18"/>
        <v>0</v>
      </c>
      <c r="AC83" s="22">
        <f t="shared" si="18"/>
        <v>0</v>
      </c>
      <c r="AD83" s="22">
        <f t="shared" si="18"/>
        <v>0</v>
      </c>
    </row>
    <row r="84" spans="1:30" ht="63" x14ac:dyDescent="0.25">
      <c r="A84" s="294" t="s">
        <v>843</v>
      </c>
      <c r="B84" s="348" t="s">
        <v>844</v>
      </c>
      <c r="C84" s="323"/>
      <c r="D84" s="22">
        <f t="shared" ref="D84:F85" si="19">D85</f>
        <v>28.6</v>
      </c>
      <c r="E84" s="22">
        <f t="shared" si="19"/>
        <v>0</v>
      </c>
      <c r="F84" s="22">
        <f t="shared" si="19"/>
        <v>0</v>
      </c>
      <c r="G84" s="65"/>
    </row>
    <row r="85" spans="1:30" ht="31.5" x14ac:dyDescent="0.25">
      <c r="A85" s="294" t="s">
        <v>59</v>
      </c>
      <c r="B85" s="348" t="s">
        <v>844</v>
      </c>
      <c r="C85" s="323">
        <v>600</v>
      </c>
      <c r="D85" s="495">
        <f t="shared" si="19"/>
        <v>28.6</v>
      </c>
      <c r="E85" s="495">
        <f t="shared" si="19"/>
        <v>0</v>
      </c>
      <c r="F85" s="495">
        <f t="shared" si="19"/>
        <v>0</v>
      </c>
      <c r="G85" s="65"/>
    </row>
    <row r="86" spans="1:30" x14ac:dyDescent="0.25">
      <c r="A86" s="294" t="s">
        <v>60</v>
      </c>
      <c r="B86" s="348" t="s">
        <v>844</v>
      </c>
      <c r="C86" s="323">
        <v>610</v>
      </c>
      <c r="D86" s="22">
        <f>'Функц. 2025-2027'!F725</f>
        <v>28.6</v>
      </c>
      <c r="E86" s="22">
        <f>'Функц. 2025-2027'!H725</f>
        <v>0</v>
      </c>
      <c r="F86" s="22">
        <f>'Функц. 2025-2027'!J725</f>
        <v>0</v>
      </c>
      <c r="G86" s="65"/>
    </row>
    <row r="87" spans="1:30" ht="31.5" x14ac:dyDescent="0.25">
      <c r="A87" s="320" t="s">
        <v>754</v>
      </c>
      <c r="B87" s="409" t="s">
        <v>724</v>
      </c>
      <c r="C87" s="298"/>
      <c r="D87" s="22">
        <f t="shared" ref="D87:F88" si="20">D88</f>
        <v>2499.8000000000002</v>
      </c>
      <c r="E87" s="22">
        <f t="shared" si="20"/>
        <v>0</v>
      </c>
      <c r="F87" s="22">
        <f t="shared" si="20"/>
        <v>0</v>
      </c>
      <c r="G87" s="65"/>
    </row>
    <row r="88" spans="1:30" ht="31.5" x14ac:dyDescent="0.25">
      <c r="A88" s="294" t="s">
        <v>59</v>
      </c>
      <c r="B88" s="409" t="s">
        <v>724</v>
      </c>
      <c r="C88" s="298">
        <v>600</v>
      </c>
      <c r="D88" s="22">
        <f t="shared" si="20"/>
        <v>2499.8000000000002</v>
      </c>
      <c r="E88" s="22">
        <f t="shared" si="20"/>
        <v>0</v>
      </c>
      <c r="F88" s="22">
        <f t="shared" si="20"/>
        <v>0</v>
      </c>
      <c r="G88" s="65"/>
    </row>
    <row r="89" spans="1:30" x14ac:dyDescent="0.25">
      <c r="A89" s="294" t="s">
        <v>60</v>
      </c>
      <c r="B89" s="409" t="s">
        <v>724</v>
      </c>
      <c r="C89" s="298">
        <v>610</v>
      </c>
      <c r="D89" s="22">
        <f>'Функц. 2025-2027'!F728</f>
        <v>2499.8000000000002</v>
      </c>
      <c r="E89" s="22">
        <f>'Функц. 2025-2027'!H728</f>
        <v>0</v>
      </c>
      <c r="F89" s="22">
        <f>'Функц. 2025-2027'!J728</f>
        <v>0</v>
      </c>
      <c r="G89" s="65"/>
    </row>
    <row r="90" spans="1:30" x14ac:dyDescent="0.25">
      <c r="A90" s="294" t="s">
        <v>718</v>
      </c>
      <c r="B90" s="409" t="s">
        <v>721</v>
      </c>
      <c r="C90" s="298"/>
      <c r="D90" s="22">
        <f>D91</f>
        <v>6017.1</v>
      </c>
      <c r="E90" s="22">
        <f t="shared" ref="E90:F92" si="21">E91</f>
        <v>0</v>
      </c>
      <c r="F90" s="22">
        <f t="shared" si="21"/>
        <v>0</v>
      </c>
      <c r="G90" s="65"/>
    </row>
    <row r="91" spans="1:30" ht="47.25" x14ac:dyDescent="0.25">
      <c r="A91" s="294" t="s">
        <v>719</v>
      </c>
      <c r="B91" s="409" t="s">
        <v>720</v>
      </c>
      <c r="C91" s="298"/>
      <c r="D91" s="22">
        <f>D92</f>
        <v>6017.1</v>
      </c>
      <c r="E91" s="22">
        <f t="shared" si="21"/>
        <v>0</v>
      </c>
      <c r="F91" s="22">
        <f t="shared" si="21"/>
        <v>0</v>
      </c>
      <c r="G91" s="65"/>
    </row>
    <row r="92" spans="1:30" ht="31.5" x14ac:dyDescent="0.25">
      <c r="A92" s="294" t="s">
        <v>59</v>
      </c>
      <c r="B92" s="409" t="s">
        <v>720</v>
      </c>
      <c r="C92" s="298">
        <v>600</v>
      </c>
      <c r="D92" s="22">
        <f>D93</f>
        <v>6017.1</v>
      </c>
      <c r="E92" s="22">
        <f t="shared" si="21"/>
        <v>0</v>
      </c>
      <c r="F92" s="22">
        <f t="shared" si="21"/>
        <v>0</v>
      </c>
      <c r="G92" s="65"/>
    </row>
    <row r="93" spans="1:30" x14ac:dyDescent="0.25">
      <c r="A93" s="294" t="s">
        <v>60</v>
      </c>
      <c r="B93" s="409" t="s">
        <v>720</v>
      </c>
      <c r="C93" s="298">
        <v>610</v>
      </c>
      <c r="D93" s="22">
        <f>'Функц. 2025-2027'!F732</f>
        <v>6017.1</v>
      </c>
      <c r="E93" s="22">
        <f>'Функц. 2025-2027'!H732</f>
        <v>0</v>
      </c>
      <c r="F93" s="22">
        <f>'Функц. 2025-2027'!J732</f>
        <v>0</v>
      </c>
      <c r="G93" s="65"/>
    </row>
    <row r="94" spans="1:30" s="102" customFormat="1" x14ac:dyDescent="0.25">
      <c r="A94" s="260" t="s">
        <v>260</v>
      </c>
      <c r="B94" s="411" t="s">
        <v>98</v>
      </c>
      <c r="C94" s="392"/>
      <c r="D94" s="24">
        <f>D95+D173+D191</f>
        <v>1399782.9000000001</v>
      </c>
      <c r="E94" s="24">
        <f>E95+E173+E191</f>
        <v>1306315.0999999999</v>
      </c>
      <c r="F94" s="24">
        <f>F95+F173+F191</f>
        <v>1302968.4000000001</v>
      </c>
      <c r="G94" s="65"/>
    </row>
    <row r="95" spans="1:30" x14ac:dyDescent="0.25">
      <c r="A95" s="196" t="s">
        <v>441</v>
      </c>
      <c r="B95" s="116" t="s">
        <v>115</v>
      </c>
      <c r="C95" s="284"/>
      <c r="D95" s="22">
        <f t="shared" ref="D95:AD95" si="22">D96+D135+D152+D163+D159+D148</f>
        <v>1299777.1000000001</v>
      </c>
      <c r="E95" s="22">
        <f t="shared" si="22"/>
        <v>1209503.7999999998</v>
      </c>
      <c r="F95" s="22">
        <f t="shared" si="22"/>
        <v>1203771</v>
      </c>
      <c r="G95" s="22" t="e">
        <f t="shared" si="22"/>
        <v>#REF!</v>
      </c>
      <c r="H95" s="22" t="e">
        <f t="shared" si="22"/>
        <v>#REF!</v>
      </c>
      <c r="I95" s="22" t="e">
        <f t="shared" si="22"/>
        <v>#REF!</v>
      </c>
      <c r="J95" s="22" t="e">
        <f t="shared" si="22"/>
        <v>#REF!</v>
      </c>
      <c r="K95" s="22" t="e">
        <f t="shared" si="22"/>
        <v>#REF!</v>
      </c>
      <c r="L95" s="22" t="e">
        <f t="shared" si="22"/>
        <v>#REF!</v>
      </c>
      <c r="M95" s="22" t="e">
        <f t="shared" si="22"/>
        <v>#REF!</v>
      </c>
      <c r="N95" s="22" t="e">
        <f t="shared" si="22"/>
        <v>#REF!</v>
      </c>
      <c r="O95" s="22" t="e">
        <f t="shared" si="22"/>
        <v>#REF!</v>
      </c>
      <c r="P95" s="22" t="e">
        <f t="shared" si="22"/>
        <v>#REF!</v>
      </c>
      <c r="Q95" s="22" t="e">
        <f t="shared" si="22"/>
        <v>#REF!</v>
      </c>
      <c r="R95" s="22" t="e">
        <f t="shared" si="22"/>
        <v>#REF!</v>
      </c>
      <c r="S95" s="22" t="e">
        <f t="shared" si="22"/>
        <v>#REF!</v>
      </c>
      <c r="T95" s="22" t="e">
        <f t="shared" si="22"/>
        <v>#REF!</v>
      </c>
      <c r="U95" s="22" t="e">
        <f t="shared" si="22"/>
        <v>#REF!</v>
      </c>
      <c r="V95" s="22" t="e">
        <f t="shared" si="22"/>
        <v>#REF!</v>
      </c>
      <c r="W95" s="22" t="e">
        <f t="shared" si="22"/>
        <v>#REF!</v>
      </c>
      <c r="X95" s="22" t="e">
        <f t="shared" si="22"/>
        <v>#REF!</v>
      </c>
      <c r="Y95" s="22" t="e">
        <f t="shared" si="22"/>
        <v>#REF!</v>
      </c>
      <c r="Z95" s="22" t="e">
        <f t="shared" si="22"/>
        <v>#REF!</v>
      </c>
      <c r="AA95" s="22" t="e">
        <f t="shared" si="22"/>
        <v>#REF!</v>
      </c>
      <c r="AB95" s="22" t="e">
        <f t="shared" si="22"/>
        <v>#REF!</v>
      </c>
      <c r="AC95" s="22" t="e">
        <f t="shared" si="22"/>
        <v>#REF!</v>
      </c>
      <c r="AD95" s="22" t="e">
        <f t="shared" si="22"/>
        <v>#REF!</v>
      </c>
    </row>
    <row r="96" spans="1:30" ht="31.5" x14ac:dyDescent="0.25">
      <c r="A96" s="182" t="s">
        <v>443</v>
      </c>
      <c r="B96" s="116" t="s">
        <v>442</v>
      </c>
      <c r="C96" s="271"/>
      <c r="D96" s="22">
        <f>D100+D117+D107+D114+D126+D97+D129+D132</f>
        <v>1194209.4000000001</v>
      </c>
      <c r="E96" s="22">
        <f>E100+E117+E107+E114+E126+E97+E129+E132</f>
        <v>1112655.3999999999</v>
      </c>
      <c r="F96" s="22">
        <f>F100+F117+F107+F114+F126+F97+F129+F132</f>
        <v>1119656</v>
      </c>
      <c r="G96" s="65"/>
    </row>
    <row r="97" spans="1:7" ht="31.5" x14ac:dyDescent="0.25">
      <c r="A97" s="182" t="s">
        <v>674</v>
      </c>
      <c r="B97" s="409" t="s">
        <v>673</v>
      </c>
      <c r="C97" s="286"/>
      <c r="D97" s="22">
        <f t="shared" ref="D97:F98" si="23">D98</f>
        <v>29743.600000000002</v>
      </c>
      <c r="E97" s="22">
        <f t="shared" si="23"/>
        <v>21201.200000000001</v>
      </c>
      <c r="F97" s="22">
        <f t="shared" si="23"/>
        <v>19198.599999999999</v>
      </c>
      <c r="G97" s="65"/>
    </row>
    <row r="98" spans="1:7" x14ac:dyDescent="0.25">
      <c r="A98" s="261" t="s">
        <v>118</v>
      </c>
      <c r="B98" s="409" t="s">
        <v>673</v>
      </c>
      <c r="C98" s="284">
        <v>200</v>
      </c>
      <c r="D98" s="22">
        <f t="shared" si="23"/>
        <v>29743.600000000002</v>
      </c>
      <c r="E98" s="22">
        <f t="shared" si="23"/>
        <v>21201.200000000001</v>
      </c>
      <c r="F98" s="22">
        <f t="shared" si="23"/>
        <v>19198.599999999999</v>
      </c>
      <c r="G98" s="65"/>
    </row>
    <row r="99" spans="1:7" x14ac:dyDescent="0.25">
      <c r="A99" s="255" t="s">
        <v>51</v>
      </c>
      <c r="B99" s="409" t="s">
        <v>673</v>
      </c>
      <c r="C99" s="284">
        <v>240</v>
      </c>
      <c r="D99" s="22">
        <f>'Функц. 2025-2027'!F653</f>
        <v>29743.600000000002</v>
      </c>
      <c r="E99" s="22">
        <f>'Функц. 2025-2027'!H653</f>
        <v>21201.200000000001</v>
      </c>
      <c r="F99" s="22">
        <f>'Функц. 2025-2027'!J653</f>
        <v>19198.599999999999</v>
      </c>
      <c r="G99" s="65"/>
    </row>
    <row r="100" spans="1:7" ht="31.5" x14ac:dyDescent="0.25">
      <c r="A100" s="259" t="s">
        <v>262</v>
      </c>
      <c r="B100" s="116" t="s">
        <v>445</v>
      </c>
      <c r="C100" s="393"/>
      <c r="D100" s="22">
        <f>D101+D104</f>
        <v>201205.4</v>
      </c>
      <c r="E100" s="22">
        <f>E101</f>
        <v>188071.3</v>
      </c>
      <c r="F100" s="22">
        <f>F101</f>
        <v>193971.5</v>
      </c>
      <c r="G100" s="65"/>
    </row>
    <row r="101" spans="1:7" ht="31.5" x14ac:dyDescent="0.25">
      <c r="A101" s="259" t="s">
        <v>329</v>
      </c>
      <c r="B101" s="116" t="s">
        <v>446</v>
      </c>
      <c r="C101" s="284"/>
      <c r="D101" s="22">
        <f t="shared" ref="D101:F102" si="24">D102</f>
        <v>183834.4</v>
      </c>
      <c r="E101" s="22">
        <f t="shared" si="24"/>
        <v>188071.3</v>
      </c>
      <c r="F101" s="22">
        <f t="shared" si="24"/>
        <v>193971.5</v>
      </c>
      <c r="G101" s="65"/>
    </row>
    <row r="102" spans="1:7" ht="31.5" x14ac:dyDescent="0.25">
      <c r="A102" s="198" t="s">
        <v>59</v>
      </c>
      <c r="B102" s="116" t="s">
        <v>446</v>
      </c>
      <c r="C102" s="284">
        <v>600</v>
      </c>
      <c r="D102" s="22">
        <f t="shared" si="24"/>
        <v>183834.4</v>
      </c>
      <c r="E102" s="22">
        <f t="shared" si="24"/>
        <v>188071.3</v>
      </c>
      <c r="F102" s="22">
        <f t="shared" si="24"/>
        <v>193971.5</v>
      </c>
      <c r="G102" s="65"/>
    </row>
    <row r="103" spans="1:7" x14ac:dyDescent="0.25">
      <c r="A103" s="198" t="s">
        <v>60</v>
      </c>
      <c r="B103" s="116" t="s">
        <v>446</v>
      </c>
      <c r="C103" s="284">
        <v>610</v>
      </c>
      <c r="D103" s="22">
        <f>'Функц. 2025-2027'!F630</f>
        <v>183834.4</v>
      </c>
      <c r="E103" s="22">
        <f>'Функц. 2025-2027'!H630</f>
        <v>188071.3</v>
      </c>
      <c r="F103" s="22">
        <f>'Функц. 2025-2027'!J630</f>
        <v>193971.5</v>
      </c>
      <c r="G103" s="65"/>
    </row>
    <row r="104" spans="1:7" ht="47.25" x14ac:dyDescent="0.25">
      <c r="A104" s="294" t="s">
        <v>710</v>
      </c>
      <c r="B104" s="348" t="s">
        <v>804</v>
      </c>
      <c r="C104" s="297"/>
      <c r="D104" s="22">
        <f t="shared" ref="D104:F105" si="25">D105</f>
        <v>17371</v>
      </c>
      <c r="E104" s="22">
        <f t="shared" si="25"/>
        <v>0</v>
      </c>
      <c r="F104" s="22">
        <f t="shared" si="25"/>
        <v>0</v>
      </c>
      <c r="G104" s="65"/>
    </row>
    <row r="105" spans="1:7" ht="31.5" x14ac:dyDescent="0.25">
      <c r="A105" s="294" t="s">
        <v>59</v>
      </c>
      <c r="B105" s="348" t="s">
        <v>804</v>
      </c>
      <c r="C105" s="297">
        <v>600</v>
      </c>
      <c r="D105" s="22">
        <f t="shared" si="25"/>
        <v>17371</v>
      </c>
      <c r="E105" s="22">
        <f t="shared" si="25"/>
        <v>0</v>
      </c>
      <c r="F105" s="22">
        <f t="shared" si="25"/>
        <v>0</v>
      </c>
      <c r="G105" s="65"/>
    </row>
    <row r="106" spans="1:7" x14ac:dyDescent="0.25">
      <c r="A106" s="294" t="s">
        <v>60</v>
      </c>
      <c r="B106" s="348" t="s">
        <v>804</v>
      </c>
      <c r="C106" s="297">
        <v>610</v>
      </c>
      <c r="D106" s="22">
        <f>'Функц. 2025-2027'!F633</f>
        <v>17371</v>
      </c>
      <c r="E106" s="22">
        <f>'Функц. 2025-2027'!H633</f>
        <v>0</v>
      </c>
      <c r="F106" s="22">
        <f>'Функц. 2025-2027'!J633</f>
        <v>0</v>
      </c>
      <c r="G106" s="65"/>
    </row>
    <row r="107" spans="1:7" ht="47.25" x14ac:dyDescent="0.25">
      <c r="A107" s="196" t="s">
        <v>427</v>
      </c>
      <c r="B107" s="116" t="s">
        <v>463</v>
      </c>
      <c r="C107" s="284"/>
      <c r="D107" s="22">
        <f>D108+D111</f>
        <v>142894.40000000002</v>
      </c>
      <c r="E107" s="22">
        <f>E108+E111</f>
        <v>101185.9</v>
      </c>
      <c r="F107" s="22">
        <f>F108+F111</f>
        <v>104288.90000000001</v>
      </c>
      <c r="G107" s="65"/>
    </row>
    <row r="108" spans="1:7" ht="47.25" x14ac:dyDescent="0.25">
      <c r="A108" s="301" t="s">
        <v>503</v>
      </c>
      <c r="B108" s="116" t="s">
        <v>464</v>
      </c>
      <c r="C108" s="393"/>
      <c r="D108" s="22">
        <f t="shared" ref="D108:F109" si="26">D109</f>
        <v>125443.70000000001</v>
      </c>
      <c r="E108" s="22">
        <f t="shared" si="26"/>
        <v>101185.9</v>
      </c>
      <c r="F108" s="22">
        <f t="shared" si="26"/>
        <v>104288.90000000001</v>
      </c>
      <c r="G108" s="65"/>
    </row>
    <row r="109" spans="1:7" ht="31.5" x14ac:dyDescent="0.25">
      <c r="A109" s="198" t="s">
        <v>59</v>
      </c>
      <c r="B109" s="116" t="s">
        <v>464</v>
      </c>
      <c r="C109" s="284">
        <v>600</v>
      </c>
      <c r="D109" s="22">
        <f t="shared" si="26"/>
        <v>125443.70000000001</v>
      </c>
      <c r="E109" s="22">
        <f t="shared" si="26"/>
        <v>101185.9</v>
      </c>
      <c r="F109" s="22">
        <f t="shared" si="26"/>
        <v>104288.90000000001</v>
      </c>
      <c r="G109" s="65"/>
    </row>
    <row r="110" spans="1:7" x14ac:dyDescent="0.25">
      <c r="A110" s="198" t="s">
        <v>60</v>
      </c>
      <c r="B110" s="116" t="s">
        <v>464</v>
      </c>
      <c r="C110" s="284">
        <v>610</v>
      </c>
      <c r="D110" s="22">
        <f>'Функц. 2025-2027'!F657</f>
        <v>125443.70000000001</v>
      </c>
      <c r="E110" s="22">
        <f>'Функц. 2025-2027'!H657</f>
        <v>101185.9</v>
      </c>
      <c r="F110" s="22">
        <f>'Функц. 2025-2027'!J657</f>
        <v>104288.90000000001</v>
      </c>
      <c r="G110" s="65"/>
    </row>
    <row r="111" spans="1:7" ht="47.25" x14ac:dyDescent="0.25">
      <c r="A111" s="198" t="s">
        <v>504</v>
      </c>
      <c r="B111" s="116" t="s">
        <v>465</v>
      </c>
      <c r="C111" s="284"/>
      <c r="D111" s="22">
        <f>D112</f>
        <v>17450.7</v>
      </c>
      <c r="E111" s="22">
        <f t="shared" ref="E111:F111" si="27">E112</f>
        <v>0</v>
      </c>
      <c r="F111" s="22">
        <f t="shared" si="27"/>
        <v>0</v>
      </c>
      <c r="G111" s="65"/>
    </row>
    <row r="112" spans="1:7" ht="31.5" x14ac:dyDescent="0.25">
      <c r="A112" s="198" t="s">
        <v>59</v>
      </c>
      <c r="B112" s="116" t="s">
        <v>465</v>
      </c>
      <c r="C112" s="284">
        <v>600</v>
      </c>
      <c r="D112" s="22">
        <f>D113</f>
        <v>17450.7</v>
      </c>
      <c r="E112" s="22">
        <f>E113</f>
        <v>0</v>
      </c>
      <c r="F112" s="22">
        <f>F113</f>
        <v>0</v>
      </c>
      <c r="G112" s="65"/>
    </row>
    <row r="113" spans="1:7" x14ac:dyDescent="0.25">
      <c r="A113" s="198" t="s">
        <v>60</v>
      </c>
      <c r="B113" s="116" t="s">
        <v>465</v>
      </c>
      <c r="C113" s="284">
        <v>610</v>
      </c>
      <c r="D113" s="22">
        <f>'Функц. 2025-2027'!F660</f>
        <v>17450.7</v>
      </c>
      <c r="E113" s="22">
        <f>'Функц. 2025-2027'!H660</f>
        <v>0</v>
      </c>
      <c r="F113" s="22">
        <f>'Функц. 2025-2027'!J660</f>
        <v>0</v>
      </c>
      <c r="G113" s="65"/>
    </row>
    <row r="114" spans="1:7" ht="126" x14ac:dyDescent="0.25">
      <c r="A114" s="197" t="s">
        <v>506</v>
      </c>
      <c r="B114" s="21" t="s">
        <v>466</v>
      </c>
      <c r="C114" s="271"/>
      <c r="D114" s="22">
        <f t="shared" ref="D114:F115" si="28">D115</f>
        <v>767877</v>
      </c>
      <c r="E114" s="22">
        <f t="shared" si="28"/>
        <v>734136</v>
      </c>
      <c r="F114" s="22">
        <f t="shared" si="28"/>
        <v>734136</v>
      </c>
      <c r="G114" s="65"/>
    </row>
    <row r="115" spans="1:7" ht="31.5" x14ac:dyDescent="0.25">
      <c r="A115" s="198" t="s">
        <v>59</v>
      </c>
      <c r="B115" s="21" t="s">
        <v>466</v>
      </c>
      <c r="C115" s="284">
        <v>600</v>
      </c>
      <c r="D115" s="22">
        <f t="shared" si="28"/>
        <v>767877</v>
      </c>
      <c r="E115" s="22">
        <f t="shared" si="28"/>
        <v>734136</v>
      </c>
      <c r="F115" s="22">
        <f t="shared" si="28"/>
        <v>734136</v>
      </c>
      <c r="G115" s="65"/>
    </row>
    <row r="116" spans="1:7" x14ac:dyDescent="0.25">
      <c r="A116" s="198" t="s">
        <v>60</v>
      </c>
      <c r="B116" s="21" t="s">
        <v>466</v>
      </c>
      <c r="C116" s="284">
        <v>610</v>
      </c>
      <c r="D116" s="22">
        <f>'Функц. 2025-2027'!F663+'Функц. 2025-2027'!F738+'Функц. 2025-2027'!F636</f>
        <v>767877</v>
      </c>
      <c r="E116" s="22">
        <f>'Функц. 2025-2027'!H636+'Функц. 2025-2027'!H663+'Функц. 2025-2027'!H738</f>
        <v>734136</v>
      </c>
      <c r="F116" s="22">
        <f>'Функц. 2025-2027'!J738+'Функц. 2025-2027'!J636+'Функц. 2025-2027'!J663</f>
        <v>734136</v>
      </c>
      <c r="G116" s="65"/>
    </row>
    <row r="117" spans="1:7" ht="47.25" x14ac:dyDescent="0.25">
      <c r="A117" s="198" t="s">
        <v>120</v>
      </c>
      <c r="B117" s="116" t="s">
        <v>462</v>
      </c>
      <c r="C117" s="284"/>
      <c r="D117" s="22">
        <f>D122+D120+D124+D118</f>
        <v>14906</v>
      </c>
      <c r="E117" s="22">
        <f>E122+E120+E124+E118</f>
        <v>14906</v>
      </c>
      <c r="F117" s="22">
        <f>F122+F120+F124+F118</f>
        <v>14906</v>
      </c>
      <c r="G117" s="65"/>
    </row>
    <row r="118" spans="1:7" ht="47.25" x14ac:dyDescent="0.25">
      <c r="A118" s="294" t="s">
        <v>40</v>
      </c>
      <c r="B118" s="116" t="s">
        <v>462</v>
      </c>
      <c r="C118" s="284">
        <v>100</v>
      </c>
      <c r="D118" s="22">
        <f>D119</f>
        <v>536.1</v>
      </c>
      <c r="E118" s="22">
        <f>E119</f>
        <v>826</v>
      </c>
      <c r="F118" s="22">
        <f>F119</f>
        <v>826</v>
      </c>
      <c r="G118" s="65"/>
    </row>
    <row r="119" spans="1:7" x14ac:dyDescent="0.25">
      <c r="A119" s="294" t="s">
        <v>67</v>
      </c>
      <c r="B119" s="116" t="s">
        <v>462</v>
      </c>
      <c r="C119" s="284">
        <v>110</v>
      </c>
      <c r="D119" s="22">
        <f>'Функц. 2025-2027'!F922</f>
        <v>536.1</v>
      </c>
      <c r="E119" s="22">
        <f>'Функц. 2025-2027'!H922</f>
        <v>826</v>
      </c>
      <c r="F119" s="22">
        <f>'Функц. 2025-2027'!J922</f>
        <v>826</v>
      </c>
      <c r="G119" s="65"/>
    </row>
    <row r="120" spans="1:7" x14ac:dyDescent="0.25">
      <c r="A120" s="261" t="s">
        <v>118</v>
      </c>
      <c r="B120" s="116" t="s">
        <v>462</v>
      </c>
      <c r="C120" s="284">
        <v>200</v>
      </c>
      <c r="D120" s="22">
        <f>D121</f>
        <v>139</v>
      </c>
      <c r="E120" s="22">
        <f>E121</f>
        <v>139</v>
      </c>
      <c r="F120" s="22">
        <f>F121</f>
        <v>139</v>
      </c>
      <c r="G120" s="65"/>
    </row>
    <row r="121" spans="1:7" x14ac:dyDescent="0.25">
      <c r="A121" s="255" t="s">
        <v>51</v>
      </c>
      <c r="B121" s="116" t="s">
        <v>462</v>
      </c>
      <c r="C121" s="284">
        <v>240</v>
      </c>
      <c r="D121" s="22">
        <f>'Функц. 2025-2027'!F924</f>
        <v>139</v>
      </c>
      <c r="E121" s="22">
        <f>'Функц. 2025-2027'!H924</f>
        <v>139</v>
      </c>
      <c r="F121" s="22">
        <f>'Функц. 2025-2027'!J924</f>
        <v>139</v>
      </c>
      <c r="G121" s="65"/>
    </row>
    <row r="122" spans="1:7" x14ac:dyDescent="0.25">
      <c r="A122" s="198" t="s">
        <v>95</v>
      </c>
      <c r="B122" s="116" t="s">
        <v>462</v>
      </c>
      <c r="C122" s="284">
        <v>300</v>
      </c>
      <c r="D122" s="22">
        <f>D123</f>
        <v>13941</v>
      </c>
      <c r="E122" s="22">
        <f>E123</f>
        <v>13941</v>
      </c>
      <c r="F122" s="22">
        <f>F123</f>
        <v>13941</v>
      </c>
      <c r="G122" s="65"/>
    </row>
    <row r="123" spans="1:7" x14ac:dyDescent="0.25">
      <c r="A123" s="198" t="s">
        <v>129</v>
      </c>
      <c r="B123" s="116" t="s">
        <v>462</v>
      </c>
      <c r="C123" s="284">
        <v>310</v>
      </c>
      <c r="D123" s="22">
        <f>'Функц. 2025-2027'!F926</f>
        <v>13941</v>
      </c>
      <c r="E123" s="22">
        <f>'Функц. 2025-2027'!H926</f>
        <v>13941</v>
      </c>
      <c r="F123" s="22">
        <f>'Функц. 2025-2027'!J926</f>
        <v>13941</v>
      </c>
      <c r="G123" s="65"/>
    </row>
    <row r="124" spans="1:7" ht="31.5" x14ac:dyDescent="0.25">
      <c r="A124" s="198" t="s">
        <v>59</v>
      </c>
      <c r="B124" s="116" t="s">
        <v>462</v>
      </c>
      <c r="C124" s="284">
        <v>600</v>
      </c>
      <c r="D124" s="22">
        <f>D125</f>
        <v>289.89999999999998</v>
      </c>
      <c r="E124" s="22">
        <f>E125</f>
        <v>0</v>
      </c>
      <c r="F124" s="22">
        <f>F125</f>
        <v>0</v>
      </c>
      <c r="G124" s="65"/>
    </row>
    <row r="125" spans="1:7" x14ac:dyDescent="0.25">
      <c r="A125" s="198" t="s">
        <v>60</v>
      </c>
      <c r="B125" s="116" t="s">
        <v>462</v>
      </c>
      <c r="C125" s="284">
        <v>610</v>
      </c>
      <c r="D125" s="22">
        <f>'Функц. 2025-2027'!F928</f>
        <v>289.89999999999998</v>
      </c>
      <c r="E125" s="22">
        <f>'Функц. 2025-2027'!H928</f>
        <v>0</v>
      </c>
      <c r="F125" s="22">
        <f>'Функц. 2025-2027'!J928</f>
        <v>0</v>
      </c>
      <c r="G125" s="65"/>
    </row>
    <row r="126" spans="1:7" ht="36.75" customHeight="1" x14ac:dyDescent="0.25">
      <c r="A126" s="255" t="s">
        <v>755</v>
      </c>
      <c r="B126" s="116" t="s">
        <v>613</v>
      </c>
      <c r="C126" s="230"/>
      <c r="D126" s="22">
        <f t="shared" ref="D126:F127" si="29">D127</f>
        <v>1908</v>
      </c>
      <c r="E126" s="22">
        <f t="shared" si="29"/>
        <v>1908</v>
      </c>
      <c r="F126" s="22">
        <f t="shared" si="29"/>
        <v>1908</v>
      </c>
      <c r="G126" s="65"/>
    </row>
    <row r="127" spans="1:7" ht="31.5" x14ac:dyDescent="0.25">
      <c r="A127" s="255" t="s">
        <v>59</v>
      </c>
      <c r="B127" s="116" t="s">
        <v>613</v>
      </c>
      <c r="C127" s="230">
        <v>600</v>
      </c>
      <c r="D127" s="22">
        <f t="shared" si="29"/>
        <v>1908</v>
      </c>
      <c r="E127" s="22">
        <f t="shared" si="29"/>
        <v>1908</v>
      </c>
      <c r="F127" s="22">
        <f t="shared" si="29"/>
        <v>1908</v>
      </c>
      <c r="G127" s="65"/>
    </row>
    <row r="128" spans="1:7" x14ac:dyDescent="0.25">
      <c r="A128" s="255" t="s">
        <v>60</v>
      </c>
      <c r="B128" s="116" t="s">
        <v>613</v>
      </c>
      <c r="C128" s="230">
        <v>610</v>
      </c>
      <c r="D128" s="22">
        <f>'Функц. 2025-2027'!F666+'Функц. 2025-2027'!F639</f>
        <v>1908</v>
      </c>
      <c r="E128" s="287">
        <f>'Функц. 2025-2027'!H666+'Функц. 2025-2027'!H639</f>
        <v>1908</v>
      </c>
      <c r="F128" s="22">
        <f>'Функц. 2025-2027'!J666+'Функц. 2025-2027'!J639</f>
        <v>1908</v>
      </c>
      <c r="G128" s="65"/>
    </row>
    <row r="129" spans="1:30" ht="63" x14ac:dyDescent="0.25">
      <c r="A129" s="294" t="s">
        <v>645</v>
      </c>
      <c r="B129" s="412" t="s">
        <v>646</v>
      </c>
      <c r="C129" s="302"/>
      <c r="D129" s="22">
        <f t="shared" ref="D129:F130" si="30">D130</f>
        <v>3490</v>
      </c>
      <c r="E129" s="22">
        <f t="shared" si="30"/>
        <v>0</v>
      </c>
      <c r="F129" s="22">
        <f t="shared" si="30"/>
        <v>0</v>
      </c>
      <c r="G129" s="65"/>
    </row>
    <row r="130" spans="1:30" ht="31.5" x14ac:dyDescent="0.25">
      <c r="A130" s="294" t="s">
        <v>59</v>
      </c>
      <c r="B130" s="412" t="s">
        <v>646</v>
      </c>
      <c r="C130" s="302">
        <v>600</v>
      </c>
      <c r="D130" s="22">
        <f t="shared" si="30"/>
        <v>3490</v>
      </c>
      <c r="E130" s="22">
        <f t="shared" si="30"/>
        <v>0</v>
      </c>
      <c r="F130" s="22">
        <f t="shared" si="30"/>
        <v>0</v>
      </c>
      <c r="G130" s="65"/>
    </row>
    <row r="131" spans="1:30" x14ac:dyDescent="0.25">
      <c r="A131" s="294" t="s">
        <v>60</v>
      </c>
      <c r="B131" s="412" t="s">
        <v>646</v>
      </c>
      <c r="C131" s="302">
        <v>610</v>
      </c>
      <c r="D131" s="22">
        <f>'Функц. 2025-2027'!F669</f>
        <v>3490</v>
      </c>
      <c r="E131" s="22">
        <f>'Функц. 2025-2027'!I669</f>
        <v>0</v>
      </c>
      <c r="F131" s="22">
        <f>'Функц. 2025-2027'!J669</f>
        <v>0</v>
      </c>
      <c r="G131" s="65"/>
    </row>
    <row r="132" spans="1:30" ht="31.5" x14ac:dyDescent="0.25">
      <c r="A132" s="294" t="s">
        <v>762</v>
      </c>
      <c r="B132" s="412" t="s">
        <v>651</v>
      </c>
      <c r="C132" s="302"/>
      <c r="D132" s="22">
        <f>D133</f>
        <v>32185</v>
      </c>
      <c r="E132" s="22">
        <f t="shared" ref="E132:AD133" si="31">E133</f>
        <v>51247</v>
      </c>
      <c r="F132" s="22">
        <f t="shared" si="31"/>
        <v>51247</v>
      </c>
      <c r="G132" s="22">
        <f t="shared" si="31"/>
        <v>0</v>
      </c>
      <c r="H132" s="22">
        <f t="shared" si="31"/>
        <v>0</v>
      </c>
      <c r="I132" s="22">
        <f t="shared" si="31"/>
        <v>0</v>
      </c>
      <c r="J132" s="22">
        <f t="shared" si="31"/>
        <v>0</v>
      </c>
      <c r="K132" s="22">
        <f t="shared" si="31"/>
        <v>0</v>
      </c>
      <c r="L132" s="22">
        <f t="shared" si="31"/>
        <v>0</v>
      </c>
      <c r="M132" s="22">
        <f t="shared" si="31"/>
        <v>0</v>
      </c>
      <c r="N132" s="22">
        <f t="shared" si="31"/>
        <v>0</v>
      </c>
      <c r="O132" s="22">
        <f t="shared" si="31"/>
        <v>0</v>
      </c>
      <c r="P132" s="22">
        <f t="shared" si="31"/>
        <v>0</v>
      </c>
      <c r="Q132" s="22">
        <f t="shared" si="31"/>
        <v>0</v>
      </c>
      <c r="R132" s="22">
        <f t="shared" si="31"/>
        <v>0</v>
      </c>
      <c r="S132" s="22">
        <f t="shared" si="31"/>
        <v>0</v>
      </c>
      <c r="T132" s="22">
        <f t="shared" si="31"/>
        <v>0</v>
      </c>
      <c r="U132" s="22">
        <f t="shared" si="31"/>
        <v>0</v>
      </c>
      <c r="V132" s="22">
        <f t="shared" si="31"/>
        <v>0</v>
      </c>
      <c r="W132" s="22">
        <f t="shared" si="31"/>
        <v>0</v>
      </c>
      <c r="X132" s="22">
        <f t="shared" si="31"/>
        <v>0</v>
      </c>
      <c r="Y132" s="22">
        <f t="shared" si="31"/>
        <v>0</v>
      </c>
      <c r="Z132" s="22">
        <f t="shared" si="31"/>
        <v>0</v>
      </c>
      <c r="AA132" s="22">
        <f t="shared" si="31"/>
        <v>0</v>
      </c>
      <c r="AB132" s="22">
        <f t="shared" si="31"/>
        <v>0</v>
      </c>
      <c r="AC132" s="22">
        <f t="shared" si="31"/>
        <v>0</v>
      </c>
      <c r="AD132" s="22">
        <f t="shared" si="31"/>
        <v>0</v>
      </c>
    </row>
    <row r="133" spans="1:30" ht="31.5" x14ac:dyDescent="0.25">
      <c r="A133" s="294" t="s">
        <v>59</v>
      </c>
      <c r="B133" s="412" t="s">
        <v>651</v>
      </c>
      <c r="C133" s="302">
        <v>600</v>
      </c>
      <c r="D133" s="22">
        <f>D134</f>
        <v>32185</v>
      </c>
      <c r="E133" s="22">
        <f t="shared" si="31"/>
        <v>51247</v>
      </c>
      <c r="F133" s="22">
        <f t="shared" si="31"/>
        <v>51247</v>
      </c>
      <c r="G133" s="65"/>
    </row>
    <row r="134" spans="1:30" x14ac:dyDescent="0.25">
      <c r="A134" s="294" t="s">
        <v>60</v>
      </c>
      <c r="B134" s="412" t="s">
        <v>651</v>
      </c>
      <c r="C134" s="302">
        <v>610</v>
      </c>
      <c r="D134" s="22">
        <f>'Функц. 2025-2027'!F642+'Функц. 2025-2027'!F672+'Функц. 2025-2027'!F741</f>
        <v>32185</v>
      </c>
      <c r="E134" s="22">
        <f>'Функц. 2025-2027'!H642+'Функц. 2025-2027'!H672+'Функц. 2025-2027'!H741</f>
        <v>51247</v>
      </c>
      <c r="F134" s="22">
        <f>'Функц. 2025-2027'!J642+'Функц. 2025-2027'!J672+'Функц. 2025-2027'!J741</f>
        <v>51247</v>
      </c>
      <c r="G134" s="65"/>
    </row>
    <row r="135" spans="1:30" ht="47.25" x14ac:dyDescent="0.25">
      <c r="A135" s="198" t="s">
        <v>444</v>
      </c>
      <c r="B135" s="116" t="s">
        <v>124</v>
      </c>
      <c r="C135" s="284"/>
      <c r="D135" s="22">
        <f>D136+D139+D142+D145</f>
        <v>48825.299999999996</v>
      </c>
      <c r="E135" s="22">
        <f>E136+E139+E142+E145</f>
        <v>51469</v>
      </c>
      <c r="F135" s="22">
        <f>F136+F139+F142+F145</f>
        <v>38704.6</v>
      </c>
      <c r="G135" s="22" t="e">
        <f>G136+#REF!+#REF!+G139</f>
        <v>#REF!</v>
      </c>
      <c r="H135" s="22" t="e">
        <f>H136+#REF!+#REF!+H139</f>
        <v>#REF!</v>
      </c>
      <c r="I135" s="22" t="e">
        <f>I136+#REF!+#REF!+I139</f>
        <v>#REF!</v>
      </c>
      <c r="J135" s="22" t="e">
        <f>J136+#REF!+#REF!+J139</f>
        <v>#REF!</v>
      </c>
      <c r="K135" s="22" t="e">
        <f>K136+#REF!+#REF!+K139</f>
        <v>#REF!</v>
      </c>
      <c r="L135" s="22" t="e">
        <f>L136+#REF!+#REF!+L139</f>
        <v>#REF!</v>
      </c>
      <c r="M135" s="22" t="e">
        <f>M136+#REF!+#REF!+M139</f>
        <v>#REF!</v>
      </c>
      <c r="N135" s="22" t="e">
        <f>N136+#REF!+#REF!+N139</f>
        <v>#REF!</v>
      </c>
      <c r="O135" s="22" t="e">
        <f>O136+#REF!+#REF!+O139</f>
        <v>#REF!</v>
      </c>
      <c r="P135" s="22" t="e">
        <f>P136+#REF!+#REF!+P139</f>
        <v>#REF!</v>
      </c>
      <c r="Q135" s="22" t="e">
        <f>Q136+#REF!+#REF!+Q139</f>
        <v>#REF!</v>
      </c>
      <c r="R135" s="22" t="e">
        <f>R136+#REF!+#REF!+R139</f>
        <v>#REF!</v>
      </c>
      <c r="S135" s="22" t="e">
        <f>S136+#REF!+#REF!+S139</f>
        <v>#REF!</v>
      </c>
      <c r="T135" s="22" t="e">
        <f>T136+#REF!+#REF!+T139</f>
        <v>#REF!</v>
      </c>
      <c r="U135" s="22" t="e">
        <f>U136+#REF!+#REF!+U139</f>
        <v>#REF!</v>
      </c>
      <c r="V135" s="22" t="e">
        <f>V136+#REF!+#REF!+V139</f>
        <v>#REF!</v>
      </c>
      <c r="W135" s="22" t="e">
        <f>W136+#REF!+#REF!+W139</f>
        <v>#REF!</v>
      </c>
      <c r="X135" s="22" t="e">
        <f>X136+#REF!+#REF!+X139</f>
        <v>#REF!</v>
      </c>
      <c r="Y135" s="22" t="e">
        <f>Y136+#REF!+#REF!+Y139</f>
        <v>#REF!</v>
      </c>
      <c r="Z135" s="22" t="e">
        <f>Z136+#REF!+#REF!+Z139</f>
        <v>#REF!</v>
      </c>
      <c r="AA135" s="22" t="e">
        <f>AA136+#REF!+#REF!+AA139</f>
        <v>#REF!</v>
      </c>
      <c r="AB135" s="22" t="e">
        <f>AB136+#REF!+#REF!+AB139</f>
        <v>#REF!</v>
      </c>
      <c r="AC135" s="22" t="e">
        <f>AC136+#REF!+#REF!+AC139</f>
        <v>#REF!</v>
      </c>
      <c r="AD135" s="22" t="e">
        <f>AD136+#REF!+#REF!+AD139</f>
        <v>#REF!</v>
      </c>
    </row>
    <row r="136" spans="1:30" ht="31.5" x14ac:dyDescent="0.25">
      <c r="A136" s="198" t="s">
        <v>505</v>
      </c>
      <c r="B136" s="116" t="s">
        <v>467</v>
      </c>
      <c r="C136" s="284"/>
      <c r="D136" s="22">
        <f t="shared" ref="D136:F137" si="32">D137</f>
        <v>18</v>
      </c>
      <c r="E136" s="22">
        <f t="shared" si="32"/>
        <v>18</v>
      </c>
      <c r="F136" s="22">
        <f t="shared" si="32"/>
        <v>18</v>
      </c>
      <c r="G136" s="65"/>
    </row>
    <row r="137" spans="1:30" ht="31.5" x14ac:dyDescent="0.25">
      <c r="A137" s="198" t="s">
        <v>59</v>
      </c>
      <c r="B137" s="116" t="s">
        <v>467</v>
      </c>
      <c r="C137" s="271">
        <v>600</v>
      </c>
      <c r="D137" s="22">
        <f t="shared" si="32"/>
        <v>18</v>
      </c>
      <c r="E137" s="22">
        <f t="shared" si="32"/>
        <v>18</v>
      </c>
      <c r="F137" s="22">
        <f t="shared" si="32"/>
        <v>18</v>
      </c>
      <c r="G137" s="65"/>
    </row>
    <row r="138" spans="1:30" x14ac:dyDescent="0.25">
      <c r="A138" s="198" t="s">
        <v>60</v>
      </c>
      <c r="B138" s="116" t="s">
        <v>467</v>
      </c>
      <c r="C138" s="271">
        <v>610</v>
      </c>
      <c r="D138" s="22">
        <f>'Функц. 2025-2027'!F676</f>
        <v>18</v>
      </c>
      <c r="E138" s="22">
        <f>'Функц. 2025-2027'!H676</f>
        <v>18</v>
      </c>
      <c r="F138" s="22">
        <f>'Функц. 2025-2027'!J676</f>
        <v>18</v>
      </c>
      <c r="G138" s="65"/>
    </row>
    <row r="139" spans="1:30" ht="63" x14ac:dyDescent="0.25">
      <c r="A139" s="294" t="s">
        <v>732</v>
      </c>
      <c r="B139" s="21" t="s">
        <v>731</v>
      </c>
      <c r="C139" s="284"/>
      <c r="D139" s="22">
        <f t="shared" ref="D139:F140" si="33">D140</f>
        <v>39953.799999999996</v>
      </c>
      <c r="E139" s="22">
        <f t="shared" si="33"/>
        <v>39547.4</v>
      </c>
      <c r="F139" s="22">
        <f t="shared" si="33"/>
        <v>38686.6</v>
      </c>
      <c r="G139" s="65"/>
    </row>
    <row r="140" spans="1:30" x14ac:dyDescent="0.25">
      <c r="A140" s="198" t="s">
        <v>118</v>
      </c>
      <c r="B140" s="21" t="s">
        <v>731</v>
      </c>
      <c r="C140" s="284">
        <v>200</v>
      </c>
      <c r="D140" s="22">
        <f t="shared" si="33"/>
        <v>39953.799999999996</v>
      </c>
      <c r="E140" s="22">
        <f t="shared" si="33"/>
        <v>39547.4</v>
      </c>
      <c r="F140" s="22">
        <f t="shared" si="33"/>
        <v>38686.6</v>
      </c>
      <c r="G140" s="65"/>
    </row>
    <row r="141" spans="1:30" x14ac:dyDescent="0.25">
      <c r="A141" s="198" t="s">
        <v>51</v>
      </c>
      <c r="B141" s="21" t="s">
        <v>731</v>
      </c>
      <c r="C141" s="284">
        <v>240</v>
      </c>
      <c r="D141" s="22">
        <f>'Функц. 2025-2027'!F679</f>
        <v>39953.799999999996</v>
      </c>
      <c r="E141" s="22">
        <f>'Функц. 2025-2027'!H679</f>
        <v>39547.4</v>
      </c>
      <c r="F141" s="22">
        <f>'Функц. 2025-2027'!J679</f>
        <v>38686.6</v>
      </c>
      <c r="G141" s="65"/>
    </row>
    <row r="142" spans="1:30" ht="63" x14ac:dyDescent="0.25">
      <c r="A142" s="294" t="s">
        <v>783</v>
      </c>
      <c r="B142" s="300" t="s">
        <v>784</v>
      </c>
      <c r="C142" s="298"/>
      <c r="D142" s="22">
        <f t="shared" ref="D142:F143" si="34">D143</f>
        <v>2163</v>
      </c>
      <c r="E142" s="22">
        <f t="shared" si="34"/>
        <v>0</v>
      </c>
      <c r="F142" s="22">
        <f t="shared" si="34"/>
        <v>0</v>
      </c>
      <c r="G142" s="65"/>
    </row>
    <row r="143" spans="1:30" ht="31.5" x14ac:dyDescent="0.25">
      <c r="A143" s="294" t="s">
        <v>59</v>
      </c>
      <c r="B143" s="300" t="s">
        <v>784</v>
      </c>
      <c r="C143" s="298">
        <v>600</v>
      </c>
      <c r="D143" s="22">
        <f t="shared" si="34"/>
        <v>2163</v>
      </c>
      <c r="E143" s="22">
        <f t="shared" si="34"/>
        <v>0</v>
      </c>
      <c r="F143" s="22">
        <f t="shared" si="34"/>
        <v>0</v>
      </c>
      <c r="G143" s="65"/>
    </row>
    <row r="144" spans="1:30" x14ac:dyDescent="0.25">
      <c r="A144" s="294" t="s">
        <v>60</v>
      </c>
      <c r="B144" s="300" t="s">
        <v>784</v>
      </c>
      <c r="C144" s="298">
        <v>610</v>
      </c>
      <c r="D144" s="22">
        <f>'Функц. 2025-2027'!F646</f>
        <v>2163</v>
      </c>
      <c r="E144" s="22">
        <f>'Функц. 2025-2027'!H646</f>
        <v>0</v>
      </c>
      <c r="F144" s="22">
        <f>'Функц. 2025-2027'!J646</f>
        <v>0</v>
      </c>
      <c r="G144" s="65"/>
    </row>
    <row r="145" spans="1:7" ht="31.5" x14ac:dyDescent="0.25">
      <c r="A145" s="294" t="s">
        <v>817</v>
      </c>
      <c r="B145" s="347" t="s">
        <v>818</v>
      </c>
      <c r="C145" s="297"/>
      <c r="D145" s="22">
        <f t="shared" ref="D145:F146" si="35">D146</f>
        <v>6690.5</v>
      </c>
      <c r="E145" s="22">
        <f t="shared" si="35"/>
        <v>11903.6</v>
      </c>
      <c r="F145" s="22">
        <f t="shared" si="35"/>
        <v>0</v>
      </c>
      <c r="G145" s="65"/>
    </row>
    <row r="146" spans="1:7" x14ac:dyDescent="0.25">
      <c r="A146" s="294" t="s">
        <v>118</v>
      </c>
      <c r="B146" s="347" t="s">
        <v>818</v>
      </c>
      <c r="C146" s="297">
        <v>200</v>
      </c>
      <c r="D146" s="22">
        <f t="shared" si="35"/>
        <v>6690.5</v>
      </c>
      <c r="E146" s="22">
        <f t="shared" si="35"/>
        <v>11903.6</v>
      </c>
      <c r="F146" s="22">
        <f t="shared" si="35"/>
        <v>0</v>
      </c>
      <c r="G146" s="65"/>
    </row>
    <row r="147" spans="1:7" x14ac:dyDescent="0.25">
      <c r="A147" s="294" t="s">
        <v>51</v>
      </c>
      <c r="B147" s="347" t="s">
        <v>818</v>
      </c>
      <c r="C147" s="297">
        <v>240</v>
      </c>
      <c r="D147" s="22">
        <f>'Функц. 2025-2027'!F682</f>
        <v>6690.5</v>
      </c>
      <c r="E147" s="22">
        <f>'Функц. 2025-2027'!H682</f>
        <v>11903.6</v>
      </c>
      <c r="F147" s="22">
        <f>'Функц. 2025-2027'!J682</f>
        <v>0</v>
      </c>
      <c r="G147" s="65"/>
    </row>
    <row r="148" spans="1:7" x14ac:dyDescent="0.25">
      <c r="A148" s="294" t="s">
        <v>822</v>
      </c>
      <c r="B148" s="348" t="s">
        <v>824</v>
      </c>
      <c r="C148" s="297"/>
      <c r="D148" s="22">
        <f>D149</f>
        <v>8763.1</v>
      </c>
      <c r="E148" s="22">
        <f t="shared" ref="E148:F150" si="36">E149</f>
        <v>0</v>
      </c>
      <c r="F148" s="22">
        <f t="shared" si="36"/>
        <v>0</v>
      </c>
      <c r="G148" s="65"/>
    </row>
    <row r="149" spans="1:7" x14ac:dyDescent="0.25">
      <c r="A149" s="294" t="s">
        <v>823</v>
      </c>
      <c r="B149" s="348" t="s">
        <v>825</v>
      </c>
      <c r="C149" s="297"/>
      <c r="D149" s="22">
        <f>D150</f>
        <v>8763.1</v>
      </c>
      <c r="E149" s="22">
        <f t="shared" si="36"/>
        <v>0</v>
      </c>
      <c r="F149" s="22">
        <f t="shared" si="36"/>
        <v>0</v>
      </c>
      <c r="G149" s="65"/>
    </row>
    <row r="150" spans="1:7" ht="31.5" x14ac:dyDescent="0.25">
      <c r="A150" s="294" t="s">
        <v>59</v>
      </c>
      <c r="B150" s="348" t="s">
        <v>825</v>
      </c>
      <c r="C150" s="323">
        <v>600</v>
      </c>
      <c r="D150" s="22">
        <f>D151</f>
        <v>8763.1</v>
      </c>
      <c r="E150" s="22">
        <f t="shared" si="36"/>
        <v>0</v>
      </c>
      <c r="F150" s="22">
        <f t="shared" si="36"/>
        <v>0</v>
      </c>
      <c r="G150" s="65"/>
    </row>
    <row r="151" spans="1:7" x14ac:dyDescent="0.25">
      <c r="A151" s="294" t="s">
        <v>60</v>
      </c>
      <c r="B151" s="348" t="s">
        <v>825</v>
      </c>
      <c r="C151" s="323">
        <v>610</v>
      </c>
      <c r="D151" s="22">
        <f>'Функц. 2025-2027'!F686</f>
        <v>8763.1</v>
      </c>
      <c r="E151" s="22">
        <f>'Функц. 2025-2027'!H686</f>
        <v>0</v>
      </c>
      <c r="F151" s="22">
        <f>'Функц. 2025-2027'!J686</f>
        <v>0</v>
      </c>
      <c r="G151" s="65"/>
    </row>
    <row r="152" spans="1:7" ht="47.25" x14ac:dyDescent="0.25">
      <c r="A152" s="196" t="s">
        <v>310</v>
      </c>
      <c r="B152" s="116" t="s">
        <v>468</v>
      </c>
      <c r="C152" s="271"/>
      <c r="D152" s="22">
        <f>D153+D156</f>
        <v>5379.9</v>
      </c>
      <c r="E152" s="22">
        <f>E153+E156</f>
        <v>5237.8999999999996</v>
      </c>
      <c r="F152" s="22">
        <f>F153+F156</f>
        <v>5237.8999999999996</v>
      </c>
      <c r="G152" s="65"/>
    </row>
    <row r="153" spans="1:7" ht="47.25" x14ac:dyDescent="0.25">
      <c r="A153" s="196" t="s">
        <v>427</v>
      </c>
      <c r="B153" s="116" t="s">
        <v>469</v>
      </c>
      <c r="C153" s="271"/>
      <c r="D153" s="22">
        <f t="shared" ref="D153:F154" si="37">D154</f>
        <v>1865.9</v>
      </c>
      <c r="E153" s="22">
        <f t="shared" si="37"/>
        <v>1865.9</v>
      </c>
      <c r="F153" s="22">
        <f t="shared" si="37"/>
        <v>1865.9</v>
      </c>
      <c r="G153" s="65"/>
    </row>
    <row r="154" spans="1:7" ht="31.5" x14ac:dyDescent="0.25">
      <c r="A154" s="198" t="s">
        <v>59</v>
      </c>
      <c r="B154" s="116" t="s">
        <v>469</v>
      </c>
      <c r="C154" s="271">
        <v>600</v>
      </c>
      <c r="D154" s="22">
        <f t="shared" si="37"/>
        <v>1865.9</v>
      </c>
      <c r="E154" s="22">
        <f t="shared" si="37"/>
        <v>1865.9</v>
      </c>
      <c r="F154" s="22">
        <f t="shared" si="37"/>
        <v>1865.9</v>
      </c>
      <c r="G154" s="65"/>
    </row>
    <row r="155" spans="1:7" x14ac:dyDescent="0.25">
      <c r="A155" s="198" t="s">
        <v>60</v>
      </c>
      <c r="B155" s="116" t="s">
        <v>469</v>
      </c>
      <c r="C155" s="271">
        <v>610</v>
      </c>
      <c r="D155" s="22">
        <f>'Функц. 2025-2027'!F690</f>
        <v>1865.9</v>
      </c>
      <c r="E155" s="22">
        <f>'Функц. 2025-2027'!H690</f>
        <v>1865.9</v>
      </c>
      <c r="F155" s="22">
        <f>'Функц. 2025-2027'!J690</f>
        <v>1865.9</v>
      </c>
      <c r="G155" s="65"/>
    </row>
    <row r="156" spans="1:7" ht="63" x14ac:dyDescent="0.25">
      <c r="A156" s="255" t="s">
        <v>614</v>
      </c>
      <c r="B156" s="116" t="s">
        <v>612</v>
      </c>
      <c r="C156" s="285"/>
      <c r="D156" s="22">
        <f t="shared" ref="D156:F157" si="38">D157</f>
        <v>3514</v>
      </c>
      <c r="E156" s="22">
        <f t="shared" si="38"/>
        <v>3372</v>
      </c>
      <c r="F156" s="22">
        <f t="shared" si="38"/>
        <v>3372</v>
      </c>
      <c r="G156" s="65"/>
    </row>
    <row r="157" spans="1:7" ht="31.5" x14ac:dyDescent="0.25">
      <c r="A157" s="255" t="s">
        <v>59</v>
      </c>
      <c r="B157" s="116" t="s">
        <v>612</v>
      </c>
      <c r="C157" s="271">
        <v>600</v>
      </c>
      <c r="D157" s="22">
        <f t="shared" si="38"/>
        <v>3514</v>
      </c>
      <c r="E157" s="22">
        <f t="shared" si="38"/>
        <v>3372</v>
      </c>
      <c r="F157" s="22">
        <f t="shared" si="38"/>
        <v>3372</v>
      </c>
      <c r="G157" s="65"/>
    </row>
    <row r="158" spans="1:7" x14ac:dyDescent="0.25">
      <c r="A158" s="255" t="s">
        <v>60</v>
      </c>
      <c r="B158" s="116" t="s">
        <v>612</v>
      </c>
      <c r="C158" s="271">
        <v>610</v>
      </c>
      <c r="D158" s="22">
        <f>'Функц. 2025-2027'!F693</f>
        <v>3514</v>
      </c>
      <c r="E158" s="22">
        <f>'Функц. 2025-2027'!H693</f>
        <v>3372</v>
      </c>
      <c r="F158" s="22">
        <f>'Функц. 2025-2027'!J693</f>
        <v>3372</v>
      </c>
      <c r="G158" s="65"/>
    </row>
    <row r="159" spans="1:7" x14ac:dyDescent="0.25">
      <c r="A159" s="255" t="s">
        <v>725</v>
      </c>
      <c r="B159" s="116" t="s">
        <v>726</v>
      </c>
      <c r="C159" s="271"/>
      <c r="D159" s="22">
        <f>D160</f>
        <v>2483.4</v>
      </c>
      <c r="E159" s="22">
        <f t="shared" ref="E159:F161" si="39">E160</f>
        <v>0</v>
      </c>
      <c r="F159" s="22">
        <f t="shared" si="39"/>
        <v>0</v>
      </c>
      <c r="G159" s="65"/>
    </row>
    <row r="160" spans="1:7" ht="31.5" x14ac:dyDescent="0.25">
      <c r="A160" s="255" t="s">
        <v>727</v>
      </c>
      <c r="B160" s="116" t="s">
        <v>728</v>
      </c>
      <c r="C160" s="271"/>
      <c r="D160" s="22">
        <f>D161</f>
        <v>2483.4</v>
      </c>
      <c r="E160" s="22">
        <f t="shared" si="39"/>
        <v>0</v>
      </c>
      <c r="F160" s="22">
        <f t="shared" si="39"/>
        <v>0</v>
      </c>
      <c r="G160" s="65"/>
    </row>
    <row r="161" spans="1:30" x14ac:dyDescent="0.25">
      <c r="A161" s="198" t="s">
        <v>118</v>
      </c>
      <c r="B161" s="116" t="s">
        <v>728</v>
      </c>
      <c r="C161" s="271">
        <v>200</v>
      </c>
      <c r="D161" s="22">
        <f>D162</f>
        <v>2483.4</v>
      </c>
      <c r="E161" s="22">
        <f t="shared" si="39"/>
        <v>0</v>
      </c>
      <c r="F161" s="22">
        <f t="shared" si="39"/>
        <v>0</v>
      </c>
      <c r="G161" s="65"/>
    </row>
    <row r="162" spans="1:30" x14ac:dyDescent="0.25">
      <c r="A162" s="198" t="s">
        <v>51</v>
      </c>
      <c r="B162" s="116" t="s">
        <v>728</v>
      </c>
      <c r="C162" s="271">
        <v>240</v>
      </c>
      <c r="D162" s="22">
        <f>'Функц. 2025-2027'!F697</f>
        <v>2483.4</v>
      </c>
      <c r="E162" s="22">
        <f>'Функц. 2025-2027'!H697</f>
        <v>0</v>
      </c>
      <c r="F162" s="22">
        <f>'ведом. 2025-2027'!AF775</f>
        <v>0</v>
      </c>
      <c r="G162" s="65"/>
    </row>
    <row r="163" spans="1:30" x14ac:dyDescent="0.25">
      <c r="A163" s="255" t="s">
        <v>647</v>
      </c>
      <c r="B163" s="116" t="s">
        <v>648</v>
      </c>
      <c r="C163" s="271"/>
      <c r="D163" s="22">
        <f>D170+D167+D164</f>
        <v>40116</v>
      </c>
      <c r="E163" s="22">
        <f>E170+E167+E164</f>
        <v>40141.5</v>
      </c>
      <c r="F163" s="22">
        <f>F170+F167+F164</f>
        <v>40172.5</v>
      </c>
      <c r="G163" s="22">
        <f t="shared" ref="G163:AD163" si="40">G170</f>
        <v>0</v>
      </c>
      <c r="H163" s="22">
        <f t="shared" si="40"/>
        <v>0</v>
      </c>
      <c r="I163" s="22">
        <f t="shared" si="40"/>
        <v>0</v>
      </c>
      <c r="J163" s="22">
        <f t="shared" si="40"/>
        <v>0</v>
      </c>
      <c r="K163" s="22">
        <f t="shared" si="40"/>
        <v>0</v>
      </c>
      <c r="L163" s="22">
        <f t="shared" si="40"/>
        <v>0</v>
      </c>
      <c r="M163" s="22">
        <f t="shared" si="40"/>
        <v>0</v>
      </c>
      <c r="N163" s="22">
        <f t="shared" si="40"/>
        <v>0</v>
      </c>
      <c r="O163" s="22">
        <f t="shared" si="40"/>
        <v>0</v>
      </c>
      <c r="P163" s="22">
        <f t="shared" si="40"/>
        <v>0</v>
      </c>
      <c r="Q163" s="22">
        <f t="shared" si="40"/>
        <v>0</v>
      </c>
      <c r="R163" s="22">
        <f t="shared" si="40"/>
        <v>0</v>
      </c>
      <c r="S163" s="22">
        <f t="shared" si="40"/>
        <v>0</v>
      </c>
      <c r="T163" s="22">
        <f t="shared" si="40"/>
        <v>0</v>
      </c>
      <c r="U163" s="22">
        <f t="shared" si="40"/>
        <v>0</v>
      </c>
      <c r="V163" s="22">
        <f t="shared" si="40"/>
        <v>0</v>
      </c>
      <c r="W163" s="22">
        <f t="shared" si="40"/>
        <v>0</v>
      </c>
      <c r="X163" s="22">
        <f t="shared" si="40"/>
        <v>0</v>
      </c>
      <c r="Y163" s="22">
        <f t="shared" si="40"/>
        <v>0</v>
      </c>
      <c r="Z163" s="22">
        <f t="shared" si="40"/>
        <v>0</v>
      </c>
      <c r="AA163" s="22">
        <f t="shared" si="40"/>
        <v>0</v>
      </c>
      <c r="AB163" s="22">
        <f t="shared" si="40"/>
        <v>0</v>
      </c>
      <c r="AC163" s="22">
        <f t="shared" si="40"/>
        <v>0</v>
      </c>
      <c r="AD163" s="22">
        <f t="shared" si="40"/>
        <v>0</v>
      </c>
    </row>
    <row r="164" spans="1:30" ht="94.5" x14ac:dyDescent="0.25">
      <c r="A164" s="255" t="s">
        <v>729</v>
      </c>
      <c r="B164" s="116" t="s">
        <v>730</v>
      </c>
      <c r="C164" s="271"/>
      <c r="D164" s="22">
        <f t="shared" ref="D164:F165" si="41">D165</f>
        <v>312.5</v>
      </c>
      <c r="E164" s="22">
        <f t="shared" si="41"/>
        <v>312.5</v>
      </c>
      <c r="F164" s="22">
        <f t="shared" si="41"/>
        <v>312.5</v>
      </c>
      <c r="G164" s="98"/>
      <c r="H164" s="98"/>
      <c r="I164" s="98"/>
      <c r="J164" s="98"/>
      <c r="K164" s="98"/>
      <c r="L164" s="98"/>
      <c r="M164" s="98"/>
      <c r="N164" s="98"/>
      <c r="O164" s="98"/>
      <c r="P164" s="98"/>
      <c r="Q164" s="98"/>
      <c r="R164" s="98"/>
      <c r="S164" s="98"/>
      <c r="T164" s="98"/>
      <c r="U164" s="98"/>
      <c r="V164" s="98"/>
      <c r="W164" s="98"/>
      <c r="X164" s="98"/>
      <c r="Y164" s="98"/>
      <c r="Z164" s="98"/>
      <c r="AA164" s="98"/>
      <c r="AB164" s="98"/>
      <c r="AC164" s="98"/>
      <c r="AD164" s="98"/>
    </row>
    <row r="165" spans="1:30" ht="31.5" x14ac:dyDescent="0.25">
      <c r="A165" s="255" t="s">
        <v>59</v>
      </c>
      <c r="B165" s="116" t="s">
        <v>730</v>
      </c>
      <c r="C165" s="271">
        <v>600</v>
      </c>
      <c r="D165" s="22">
        <f t="shared" si="41"/>
        <v>312.5</v>
      </c>
      <c r="E165" s="22">
        <f t="shared" si="41"/>
        <v>312.5</v>
      </c>
      <c r="F165" s="22">
        <f t="shared" si="41"/>
        <v>312.5</v>
      </c>
      <c r="G165" s="98"/>
      <c r="H165" s="98"/>
      <c r="I165" s="98"/>
      <c r="J165" s="98"/>
      <c r="K165" s="98"/>
      <c r="L165" s="98"/>
      <c r="M165" s="98"/>
      <c r="N165" s="98"/>
      <c r="O165" s="98"/>
      <c r="P165" s="98"/>
      <c r="Q165" s="98"/>
      <c r="R165" s="98"/>
      <c r="S165" s="98"/>
      <c r="T165" s="98"/>
      <c r="U165" s="98"/>
      <c r="V165" s="98"/>
      <c r="W165" s="98"/>
      <c r="X165" s="98"/>
      <c r="Y165" s="98"/>
      <c r="Z165" s="98"/>
      <c r="AA165" s="98"/>
      <c r="AB165" s="98"/>
      <c r="AC165" s="98"/>
      <c r="AD165" s="98"/>
    </row>
    <row r="166" spans="1:30" x14ac:dyDescent="0.25">
      <c r="A166" s="255" t="s">
        <v>60</v>
      </c>
      <c r="B166" s="116" t="s">
        <v>730</v>
      </c>
      <c r="C166" s="271">
        <v>610</v>
      </c>
      <c r="D166" s="22">
        <f>'Функц. 2025-2027'!F701</f>
        <v>312.5</v>
      </c>
      <c r="E166" s="22">
        <f>'Функц. 2025-2027'!H701</f>
        <v>312.5</v>
      </c>
      <c r="F166" s="22">
        <f>'Функц. 2025-2027'!J701</f>
        <v>312.5</v>
      </c>
      <c r="G166" s="98"/>
      <c r="H166" s="98"/>
      <c r="I166" s="98"/>
      <c r="J166" s="98"/>
      <c r="K166" s="98"/>
      <c r="L166" s="98"/>
      <c r="M166" s="98"/>
      <c r="N166" s="98"/>
      <c r="O166" s="98"/>
      <c r="P166" s="98"/>
      <c r="Q166" s="98"/>
      <c r="R166" s="98"/>
      <c r="S166" s="98"/>
      <c r="T166" s="98"/>
      <c r="U166" s="98"/>
      <c r="V166" s="98"/>
      <c r="W166" s="98"/>
      <c r="X166" s="98"/>
      <c r="Y166" s="98"/>
      <c r="Z166" s="98"/>
      <c r="AA166" s="98"/>
      <c r="AB166" s="98"/>
      <c r="AC166" s="98"/>
      <c r="AD166" s="98"/>
    </row>
    <row r="167" spans="1:30" ht="47.25" x14ac:dyDescent="0.25">
      <c r="A167" s="255" t="s">
        <v>652</v>
      </c>
      <c r="B167" s="116" t="s">
        <v>653</v>
      </c>
      <c r="C167" s="271"/>
      <c r="D167" s="22">
        <f t="shared" ref="D167:F168" si="42">D168</f>
        <v>1680.5</v>
      </c>
      <c r="E167" s="22">
        <f t="shared" si="42"/>
        <v>1706</v>
      </c>
      <c r="F167" s="22">
        <f t="shared" si="42"/>
        <v>1737</v>
      </c>
      <c r="G167" s="98"/>
      <c r="H167" s="98"/>
      <c r="I167" s="98"/>
      <c r="J167" s="98"/>
      <c r="K167" s="98"/>
      <c r="L167" s="98"/>
      <c r="M167" s="98"/>
      <c r="N167" s="98"/>
      <c r="O167" s="98"/>
      <c r="P167" s="98"/>
      <c r="Q167" s="98"/>
      <c r="R167" s="98"/>
      <c r="S167" s="98"/>
      <c r="T167" s="98"/>
      <c r="U167" s="98"/>
      <c r="V167" s="98"/>
      <c r="W167" s="98"/>
      <c r="X167" s="98"/>
      <c r="Y167" s="98"/>
      <c r="Z167" s="98"/>
      <c r="AA167" s="98"/>
      <c r="AB167" s="98"/>
      <c r="AC167" s="98"/>
      <c r="AD167" s="98"/>
    </row>
    <row r="168" spans="1:30" ht="31.5" x14ac:dyDescent="0.25">
      <c r="A168" s="294" t="s">
        <v>59</v>
      </c>
      <c r="B168" s="116" t="s">
        <v>653</v>
      </c>
      <c r="C168" s="271">
        <v>600</v>
      </c>
      <c r="D168" s="22">
        <f t="shared" si="42"/>
        <v>1680.5</v>
      </c>
      <c r="E168" s="22">
        <f t="shared" si="42"/>
        <v>1706</v>
      </c>
      <c r="F168" s="22">
        <f t="shared" si="42"/>
        <v>1737</v>
      </c>
      <c r="G168" s="22">
        <f t="shared" ref="G168:AD168" si="43">G169</f>
        <v>0</v>
      </c>
      <c r="H168" s="22">
        <f t="shared" si="43"/>
        <v>0</v>
      </c>
      <c r="I168" s="22">
        <f t="shared" si="43"/>
        <v>0</v>
      </c>
      <c r="J168" s="22">
        <f t="shared" si="43"/>
        <v>0</v>
      </c>
      <c r="K168" s="22">
        <f t="shared" si="43"/>
        <v>0</v>
      </c>
      <c r="L168" s="22">
        <f t="shared" si="43"/>
        <v>0</v>
      </c>
      <c r="M168" s="22">
        <f t="shared" si="43"/>
        <v>0</v>
      </c>
      <c r="N168" s="22">
        <f t="shared" si="43"/>
        <v>0</v>
      </c>
      <c r="O168" s="22">
        <f t="shared" si="43"/>
        <v>0</v>
      </c>
      <c r="P168" s="22">
        <f t="shared" si="43"/>
        <v>0</v>
      </c>
      <c r="Q168" s="22">
        <f t="shared" si="43"/>
        <v>0</v>
      </c>
      <c r="R168" s="22">
        <f t="shared" si="43"/>
        <v>0</v>
      </c>
      <c r="S168" s="22">
        <f t="shared" si="43"/>
        <v>0</v>
      </c>
      <c r="T168" s="22">
        <f t="shared" si="43"/>
        <v>0</v>
      </c>
      <c r="U168" s="22">
        <f t="shared" si="43"/>
        <v>0</v>
      </c>
      <c r="V168" s="22">
        <f t="shared" si="43"/>
        <v>0</v>
      </c>
      <c r="W168" s="22">
        <f t="shared" si="43"/>
        <v>0</v>
      </c>
      <c r="X168" s="22">
        <f t="shared" si="43"/>
        <v>0</v>
      </c>
      <c r="Y168" s="22">
        <f t="shared" si="43"/>
        <v>0</v>
      </c>
      <c r="Z168" s="22">
        <f t="shared" si="43"/>
        <v>0</v>
      </c>
      <c r="AA168" s="22">
        <f t="shared" si="43"/>
        <v>0</v>
      </c>
      <c r="AB168" s="22">
        <f t="shared" si="43"/>
        <v>0</v>
      </c>
      <c r="AC168" s="22">
        <f t="shared" si="43"/>
        <v>0</v>
      </c>
      <c r="AD168" s="22">
        <f t="shared" si="43"/>
        <v>0</v>
      </c>
    </row>
    <row r="169" spans="1:30" x14ac:dyDescent="0.25">
      <c r="A169" s="294" t="s">
        <v>60</v>
      </c>
      <c r="B169" s="116" t="s">
        <v>653</v>
      </c>
      <c r="C169" s="271">
        <v>610</v>
      </c>
      <c r="D169" s="22">
        <f>'Функц. 2025-2027'!F704</f>
        <v>1680.5</v>
      </c>
      <c r="E169" s="22">
        <f>'Функц. 2025-2027'!H704</f>
        <v>1706</v>
      </c>
      <c r="F169" s="22">
        <f>'Функц. 2025-2027'!J704</f>
        <v>1737</v>
      </c>
      <c r="G169" s="98"/>
      <c r="H169" s="98"/>
      <c r="I169" s="98"/>
      <c r="J169" s="98"/>
      <c r="K169" s="98"/>
      <c r="L169" s="98"/>
      <c r="M169" s="98"/>
      <c r="N169" s="98"/>
      <c r="O169" s="98"/>
      <c r="P169" s="98"/>
      <c r="Q169" s="98"/>
      <c r="R169" s="98"/>
      <c r="S169" s="98"/>
      <c r="T169" s="98"/>
      <c r="U169" s="98"/>
      <c r="V169" s="98"/>
      <c r="W169" s="98"/>
      <c r="X169" s="98"/>
      <c r="Y169" s="98"/>
      <c r="Z169" s="98"/>
      <c r="AA169" s="98"/>
      <c r="AB169" s="98"/>
      <c r="AC169" s="98"/>
      <c r="AD169" s="98"/>
    </row>
    <row r="170" spans="1:30" ht="63" x14ac:dyDescent="0.25">
      <c r="A170" s="255" t="s">
        <v>649</v>
      </c>
      <c r="B170" s="116" t="s">
        <v>650</v>
      </c>
      <c r="C170" s="271"/>
      <c r="D170" s="22">
        <f t="shared" ref="D170:F171" si="44">D171</f>
        <v>38123</v>
      </c>
      <c r="E170" s="22">
        <f t="shared" si="44"/>
        <v>38123</v>
      </c>
      <c r="F170" s="22">
        <f t="shared" si="44"/>
        <v>38123</v>
      </c>
      <c r="G170" s="65"/>
    </row>
    <row r="171" spans="1:30" ht="31.5" x14ac:dyDescent="0.25">
      <c r="A171" s="255" t="s">
        <v>59</v>
      </c>
      <c r="B171" s="116" t="s">
        <v>650</v>
      </c>
      <c r="C171" s="271">
        <v>600</v>
      </c>
      <c r="D171" s="22">
        <f t="shared" si="44"/>
        <v>38123</v>
      </c>
      <c r="E171" s="22">
        <f t="shared" si="44"/>
        <v>38123</v>
      </c>
      <c r="F171" s="22">
        <f t="shared" si="44"/>
        <v>38123</v>
      </c>
      <c r="G171" s="65"/>
    </row>
    <row r="172" spans="1:30" x14ac:dyDescent="0.25">
      <c r="A172" s="255" t="s">
        <v>60</v>
      </c>
      <c r="B172" s="116" t="s">
        <v>650</v>
      </c>
      <c r="C172" s="271">
        <v>610</v>
      </c>
      <c r="D172" s="22">
        <f>'Функц. 2025-2027'!F707</f>
        <v>38123</v>
      </c>
      <c r="E172" s="22">
        <f>'Функц. 2025-2027'!H707</f>
        <v>38123</v>
      </c>
      <c r="F172" s="22">
        <f>'Функц. 2025-2027'!J707</f>
        <v>38123</v>
      </c>
      <c r="G172" s="65"/>
    </row>
    <row r="173" spans="1:30" ht="31.5" x14ac:dyDescent="0.25">
      <c r="A173" s="255" t="s">
        <v>470</v>
      </c>
      <c r="B173" s="116" t="s">
        <v>99</v>
      </c>
      <c r="C173" s="286"/>
      <c r="D173" s="22">
        <f>D174+D185</f>
        <v>73442.7</v>
      </c>
      <c r="E173" s="22">
        <f>E174+E185</f>
        <v>71056.2</v>
      </c>
      <c r="F173" s="22">
        <f>F174+F185</f>
        <v>73442.3</v>
      </c>
      <c r="G173" s="65"/>
    </row>
    <row r="174" spans="1:30" ht="31.5" x14ac:dyDescent="0.25">
      <c r="A174" s="196" t="s">
        <v>471</v>
      </c>
      <c r="B174" s="116" t="s">
        <v>472</v>
      </c>
      <c r="C174" s="286"/>
      <c r="D174" s="22">
        <f>D175+D182</f>
        <v>58252.899999999994</v>
      </c>
      <c r="E174" s="22">
        <f t="shared" ref="E174:F174" si="45">E175+E182</f>
        <v>38974.5</v>
      </c>
      <c r="F174" s="22">
        <f t="shared" si="45"/>
        <v>39288.600000000006</v>
      </c>
      <c r="G174" s="65"/>
    </row>
    <row r="175" spans="1:30" ht="31.5" x14ac:dyDescent="0.25">
      <c r="A175" s="196" t="s">
        <v>266</v>
      </c>
      <c r="B175" s="116" t="s">
        <v>473</v>
      </c>
      <c r="C175" s="394"/>
      <c r="D175" s="22">
        <f>D176+D179</f>
        <v>54353.899999999994</v>
      </c>
      <c r="E175" s="22">
        <f>E176+E179</f>
        <v>38974.5</v>
      </c>
      <c r="F175" s="22">
        <f>F176+F179</f>
        <v>39288.600000000006</v>
      </c>
      <c r="G175" s="65"/>
    </row>
    <row r="176" spans="1:30" ht="31.5" x14ac:dyDescent="0.25">
      <c r="A176" s="198" t="s">
        <v>327</v>
      </c>
      <c r="B176" s="116" t="s">
        <v>474</v>
      </c>
      <c r="C176" s="395"/>
      <c r="D176" s="22">
        <f>D178</f>
        <v>54263.899999999994</v>
      </c>
      <c r="E176" s="22">
        <f>E178</f>
        <v>38974.5</v>
      </c>
      <c r="F176" s="22">
        <f>F178</f>
        <v>39288.600000000006</v>
      </c>
      <c r="G176" s="65"/>
    </row>
    <row r="177" spans="1:30" ht="31.5" x14ac:dyDescent="0.25">
      <c r="A177" s="198" t="s">
        <v>59</v>
      </c>
      <c r="B177" s="116" t="s">
        <v>474</v>
      </c>
      <c r="C177" s="284">
        <v>600</v>
      </c>
      <c r="D177" s="22">
        <f>D178</f>
        <v>54263.899999999994</v>
      </c>
      <c r="E177" s="22">
        <f>E178</f>
        <v>38974.5</v>
      </c>
      <c r="F177" s="22">
        <f>F178</f>
        <v>39288.600000000006</v>
      </c>
      <c r="G177" s="65"/>
    </row>
    <row r="178" spans="1:30" x14ac:dyDescent="0.25">
      <c r="A178" s="198" t="s">
        <v>60</v>
      </c>
      <c r="B178" s="116" t="s">
        <v>474</v>
      </c>
      <c r="C178" s="284">
        <v>610</v>
      </c>
      <c r="D178" s="22">
        <f>'ведом. 2025-2027'!AD808</f>
        <v>54263.899999999994</v>
      </c>
      <c r="E178" s="22">
        <f>'Функц. 2025-2027'!H747</f>
        <v>38974.5</v>
      </c>
      <c r="F178" s="22">
        <f>'Функц. 2025-2027'!J747</f>
        <v>39288.600000000006</v>
      </c>
      <c r="G178" s="65"/>
    </row>
    <row r="179" spans="1:30" ht="31.5" x14ac:dyDescent="0.25">
      <c r="A179" s="294" t="s">
        <v>845</v>
      </c>
      <c r="B179" s="348" t="s">
        <v>846</v>
      </c>
      <c r="C179" s="379"/>
      <c r="D179" s="22">
        <f t="shared" ref="D179:F180" si="46">D180</f>
        <v>90</v>
      </c>
      <c r="E179" s="22">
        <f t="shared" si="46"/>
        <v>0</v>
      </c>
      <c r="F179" s="22">
        <f t="shared" si="46"/>
        <v>0</v>
      </c>
      <c r="G179" s="65"/>
    </row>
    <row r="180" spans="1:30" ht="31.5" x14ac:dyDescent="0.25">
      <c r="A180" s="294" t="s">
        <v>59</v>
      </c>
      <c r="B180" s="348" t="s">
        <v>846</v>
      </c>
      <c r="C180" s="297">
        <v>600</v>
      </c>
      <c r="D180" s="22">
        <f t="shared" si="46"/>
        <v>90</v>
      </c>
      <c r="E180" s="22">
        <f t="shared" si="46"/>
        <v>0</v>
      </c>
      <c r="F180" s="22">
        <f t="shared" si="46"/>
        <v>0</v>
      </c>
      <c r="G180" s="65"/>
    </row>
    <row r="181" spans="1:30" x14ac:dyDescent="0.25">
      <c r="A181" s="294" t="s">
        <v>60</v>
      </c>
      <c r="B181" s="348" t="s">
        <v>846</v>
      </c>
      <c r="C181" s="297">
        <v>610</v>
      </c>
      <c r="D181" s="22">
        <f>'Функц. 2025-2027'!F750</f>
        <v>90</v>
      </c>
      <c r="E181" s="22">
        <f>'Функц. 2025-2027'!H750</f>
        <v>0</v>
      </c>
      <c r="F181" s="22">
        <f>'Функц. 2025-2027'!J750</f>
        <v>0</v>
      </c>
      <c r="G181" s="65"/>
    </row>
    <row r="182" spans="1:30" ht="31.5" x14ac:dyDescent="0.25">
      <c r="A182" s="294" t="s">
        <v>893</v>
      </c>
      <c r="B182" s="348" t="s">
        <v>894</v>
      </c>
      <c r="C182" s="297"/>
      <c r="D182" s="22">
        <f>D183</f>
        <v>3899</v>
      </c>
      <c r="E182" s="22">
        <f t="shared" ref="E182:F183" si="47">E183</f>
        <v>0</v>
      </c>
      <c r="F182" s="22">
        <f t="shared" si="47"/>
        <v>0</v>
      </c>
      <c r="G182" s="65"/>
    </row>
    <row r="183" spans="1:30" ht="31.5" x14ac:dyDescent="0.25">
      <c r="A183" s="294" t="s">
        <v>59</v>
      </c>
      <c r="B183" s="348" t="s">
        <v>894</v>
      </c>
      <c r="C183" s="297">
        <v>600</v>
      </c>
      <c r="D183" s="22">
        <f>D184</f>
        <v>3899</v>
      </c>
      <c r="E183" s="22">
        <f t="shared" si="47"/>
        <v>0</v>
      </c>
      <c r="F183" s="22">
        <f t="shared" si="47"/>
        <v>0</v>
      </c>
      <c r="G183" s="65"/>
    </row>
    <row r="184" spans="1:30" x14ac:dyDescent="0.25">
      <c r="A184" s="294" t="s">
        <v>60</v>
      </c>
      <c r="B184" s="348" t="s">
        <v>894</v>
      </c>
      <c r="C184" s="297">
        <v>610</v>
      </c>
      <c r="D184" s="22">
        <f>'Функц. 2025-2027'!F753</f>
        <v>3899</v>
      </c>
      <c r="E184" s="22">
        <f>'Функц. 2025-2027'!H753</f>
        <v>0</v>
      </c>
      <c r="F184" s="22">
        <f>'Функц. 2025-2027'!J753</f>
        <v>0</v>
      </c>
      <c r="G184" s="65"/>
    </row>
    <row r="185" spans="1:30" ht="31.5" x14ac:dyDescent="0.25">
      <c r="A185" s="196" t="s">
        <v>475</v>
      </c>
      <c r="B185" s="116" t="s">
        <v>476</v>
      </c>
      <c r="C185" s="284"/>
      <c r="D185" s="22">
        <f t="shared" ref="D185:F186" si="48">D186</f>
        <v>15189.8</v>
      </c>
      <c r="E185" s="22">
        <f t="shared" si="48"/>
        <v>32081.7</v>
      </c>
      <c r="F185" s="22">
        <f t="shared" si="48"/>
        <v>34153.699999999997</v>
      </c>
      <c r="G185" s="65"/>
    </row>
    <row r="186" spans="1:30" ht="31.5" x14ac:dyDescent="0.25">
      <c r="A186" s="197" t="s">
        <v>154</v>
      </c>
      <c r="B186" s="116" t="s">
        <v>477</v>
      </c>
      <c r="C186" s="284"/>
      <c r="D186" s="22">
        <f t="shared" si="48"/>
        <v>15189.8</v>
      </c>
      <c r="E186" s="22">
        <f t="shared" si="48"/>
        <v>32081.7</v>
      </c>
      <c r="F186" s="22">
        <f t="shared" si="48"/>
        <v>34153.699999999997</v>
      </c>
      <c r="G186" s="65"/>
    </row>
    <row r="187" spans="1:30" ht="31.5" x14ac:dyDescent="0.25">
      <c r="A187" s="198" t="s">
        <v>59</v>
      </c>
      <c r="B187" s="116" t="s">
        <v>477</v>
      </c>
      <c r="C187" s="284">
        <v>600</v>
      </c>
      <c r="D187" s="22">
        <f>D188+D189+D190</f>
        <v>15189.8</v>
      </c>
      <c r="E187" s="22">
        <f>E188+E189+E190</f>
        <v>32081.7</v>
      </c>
      <c r="F187" s="22">
        <f>F188+F189+F190</f>
        <v>34153.699999999997</v>
      </c>
      <c r="G187" s="65"/>
    </row>
    <row r="188" spans="1:30" x14ac:dyDescent="0.25">
      <c r="A188" s="198" t="s">
        <v>60</v>
      </c>
      <c r="B188" s="116" t="s">
        <v>477</v>
      </c>
      <c r="C188" s="284">
        <v>610</v>
      </c>
      <c r="D188" s="22">
        <f>'Функц. 2025-2027'!F757</f>
        <v>15189.8</v>
      </c>
      <c r="E188" s="22">
        <f>'Функц. 2025-2027'!H757</f>
        <v>28747.1</v>
      </c>
      <c r="F188" s="22">
        <f>'Функц. 2025-2027'!J757</f>
        <v>30816.199999999997</v>
      </c>
      <c r="G188" s="65"/>
    </row>
    <row r="189" spans="1:30" s="138" customFormat="1" x14ac:dyDescent="0.25">
      <c r="A189" s="255" t="s">
        <v>128</v>
      </c>
      <c r="B189" s="116" t="s">
        <v>477</v>
      </c>
      <c r="C189" s="284">
        <v>620</v>
      </c>
      <c r="D189" s="22">
        <f>'Функц. 2025-2027'!F758</f>
        <v>0</v>
      </c>
      <c r="E189" s="22">
        <f>'Функц. 2025-2027'!H758</f>
        <v>2705.8999999999996</v>
      </c>
      <c r="F189" s="22">
        <f>'Функц. 2025-2027'!J758</f>
        <v>2708.8</v>
      </c>
      <c r="G189" s="65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  <c r="Y189" s="103"/>
      <c r="Z189" s="103"/>
      <c r="AA189" s="103"/>
      <c r="AB189" s="103"/>
      <c r="AC189" s="103"/>
      <c r="AD189" s="103"/>
    </row>
    <row r="190" spans="1:30" s="138" customFormat="1" ht="31.5" x14ac:dyDescent="0.25">
      <c r="A190" s="255" t="s">
        <v>359</v>
      </c>
      <c r="B190" s="116" t="s">
        <v>477</v>
      </c>
      <c r="C190" s="284">
        <v>630</v>
      </c>
      <c r="D190" s="22">
        <f>'Функц. 2025-2027'!F759</f>
        <v>0</v>
      </c>
      <c r="E190" s="22">
        <f>'Функц. 2025-2027'!H759</f>
        <v>628.70000000000005</v>
      </c>
      <c r="F190" s="22">
        <f>'Функц. 2025-2027'!J759</f>
        <v>628.70000000000005</v>
      </c>
      <c r="G190" s="65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  <c r="Y190" s="103"/>
      <c r="Z190" s="103"/>
      <c r="AA190" s="103"/>
      <c r="AB190" s="103"/>
      <c r="AC190" s="103"/>
      <c r="AD190" s="103"/>
    </row>
    <row r="191" spans="1:30" x14ac:dyDescent="0.25">
      <c r="A191" s="182" t="s">
        <v>47</v>
      </c>
      <c r="B191" s="116" t="s">
        <v>478</v>
      </c>
      <c r="C191" s="284"/>
      <c r="D191" s="22">
        <f>D192</f>
        <v>26563.100000000002</v>
      </c>
      <c r="E191" s="22">
        <f>E192</f>
        <v>25755.100000000002</v>
      </c>
      <c r="F191" s="22">
        <f>F192</f>
        <v>25755.100000000002</v>
      </c>
      <c r="G191" s="65"/>
    </row>
    <row r="192" spans="1:30" ht="31.5" x14ac:dyDescent="0.25">
      <c r="A192" s="196" t="s">
        <v>267</v>
      </c>
      <c r="B192" s="116" t="s">
        <v>479</v>
      </c>
      <c r="C192" s="284"/>
      <c r="D192" s="22">
        <f>D193+D203</f>
        <v>26563.100000000002</v>
      </c>
      <c r="E192" s="22">
        <f>E193+E203</f>
        <v>25755.100000000002</v>
      </c>
      <c r="F192" s="22">
        <f>F193+F203</f>
        <v>25755.100000000002</v>
      </c>
      <c r="G192" s="65"/>
    </row>
    <row r="193" spans="1:7" x14ac:dyDescent="0.25">
      <c r="A193" s="197" t="s">
        <v>203</v>
      </c>
      <c r="B193" s="116" t="s">
        <v>480</v>
      </c>
      <c r="C193" s="284"/>
      <c r="D193" s="22">
        <f>D194+D197+D200</f>
        <v>26475.200000000001</v>
      </c>
      <c r="E193" s="22">
        <f>E194+E197+E200</f>
        <v>25567.200000000001</v>
      </c>
      <c r="F193" s="22">
        <f>F194+F197+F200</f>
        <v>25567.200000000001</v>
      </c>
      <c r="G193" s="65"/>
    </row>
    <row r="194" spans="1:7" ht="31.5" x14ac:dyDescent="0.25">
      <c r="A194" s="198" t="s">
        <v>204</v>
      </c>
      <c r="B194" s="116" t="s">
        <v>481</v>
      </c>
      <c r="C194" s="284"/>
      <c r="D194" s="22">
        <f t="shared" ref="D194:F195" si="49">D195</f>
        <v>1495.2</v>
      </c>
      <c r="E194" s="22">
        <f t="shared" si="49"/>
        <v>1485.2</v>
      </c>
      <c r="F194" s="22">
        <f t="shared" si="49"/>
        <v>1485.2</v>
      </c>
      <c r="G194" s="65"/>
    </row>
    <row r="195" spans="1:7" x14ac:dyDescent="0.25">
      <c r="A195" s="198" t="s">
        <v>118</v>
      </c>
      <c r="B195" s="116" t="s">
        <v>481</v>
      </c>
      <c r="C195" s="284">
        <v>200</v>
      </c>
      <c r="D195" s="22">
        <f t="shared" si="49"/>
        <v>1495.2</v>
      </c>
      <c r="E195" s="22">
        <f t="shared" si="49"/>
        <v>1485.2</v>
      </c>
      <c r="F195" s="22">
        <f t="shared" si="49"/>
        <v>1485.2</v>
      </c>
      <c r="G195" s="65"/>
    </row>
    <row r="196" spans="1:7" x14ac:dyDescent="0.25">
      <c r="A196" s="198" t="s">
        <v>51</v>
      </c>
      <c r="B196" s="116" t="s">
        <v>481</v>
      </c>
      <c r="C196" s="284">
        <v>240</v>
      </c>
      <c r="D196" s="22">
        <f>'Функц. 2025-2027'!F791</f>
        <v>1495.2</v>
      </c>
      <c r="E196" s="22">
        <f>'Функц. 2025-2027'!H791</f>
        <v>1485.2</v>
      </c>
      <c r="F196" s="22">
        <f>'Функц. 2025-2027'!J791</f>
        <v>1485.2</v>
      </c>
      <c r="G196" s="65"/>
    </row>
    <row r="197" spans="1:7" ht="31.5" x14ac:dyDescent="0.25">
      <c r="A197" s="198" t="s">
        <v>345</v>
      </c>
      <c r="B197" s="116" t="s">
        <v>482</v>
      </c>
      <c r="C197" s="284"/>
      <c r="D197" s="22">
        <f t="shared" ref="D197:F198" si="50">D198</f>
        <v>11514.6</v>
      </c>
      <c r="E197" s="22">
        <f t="shared" si="50"/>
        <v>10616.6</v>
      </c>
      <c r="F197" s="22">
        <f t="shared" si="50"/>
        <v>10616.6</v>
      </c>
      <c r="G197" s="65"/>
    </row>
    <row r="198" spans="1:7" ht="47.25" x14ac:dyDescent="0.25">
      <c r="A198" s="198" t="s">
        <v>40</v>
      </c>
      <c r="B198" s="116" t="s">
        <v>482</v>
      </c>
      <c r="C198" s="284">
        <v>100</v>
      </c>
      <c r="D198" s="22">
        <f t="shared" si="50"/>
        <v>11514.6</v>
      </c>
      <c r="E198" s="22">
        <f t="shared" si="50"/>
        <v>10616.6</v>
      </c>
      <c r="F198" s="22">
        <f t="shared" si="50"/>
        <v>10616.6</v>
      </c>
      <c r="G198" s="65"/>
    </row>
    <row r="199" spans="1:7" x14ac:dyDescent="0.25">
      <c r="A199" s="198" t="s">
        <v>94</v>
      </c>
      <c r="B199" s="116" t="s">
        <v>482</v>
      </c>
      <c r="C199" s="284">
        <v>120</v>
      </c>
      <c r="D199" s="22">
        <f>'Функц. 2025-2027'!F794</f>
        <v>11514.6</v>
      </c>
      <c r="E199" s="22">
        <f>'Функц. 2025-2027'!H794</f>
        <v>10616.6</v>
      </c>
      <c r="F199" s="22">
        <f>'Функц. 2025-2027'!J794</f>
        <v>10616.6</v>
      </c>
      <c r="G199" s="65"/>
    </row>
    <row r="200" spans="1:7" ht="31.5" x14ac:dyDescent="0.25">
      <c r="A200" s="198" t="s">
        <v>268</v>
      </c>
      <c r="B200" s="116" t="s">
        <v>483</v>
      </c>
      <c r="C200" s="284"/>
      <c r="D200" s="22">
        <f t="shared" ref="D200:F201" si="51">D201</f>
        <v>13465.4</v>
      </c>
      <c r="E200" s="22">
        <f t="shared" si="51"/>
        <v>13465.4</v>
      </c>
      <c r="F200" s="22">
        <f t="shared" si="51"/>
        <v>13465.4</v>
      </c>
      <c r="G200" s="65"/>
    </row>
    <row r="201" spans="1:7" ht="47.25" x14ac:dyDescent="0.25">
      <c r="A201" s="198" t="s">
        <v>40</v>
      </c>
      <c r="B201" s="116" t="s">
        <v>483</v>
      </c>
      <c r="C201" s="284">
        <v>100</v>
      </c>
      <c r="D201" s="22">
        <f t="shared" si="51"/>
        <v>13465.4</v>
      </c>
      <c r="E201" s="22">
        <f t="shared" si="51"/>
        <v>13465.4</v>
      </c>
      <c r="F201" s="22">
        <f t="shared" si="51"/>
        <v>13465.4</v>
      </c>
      <c r="G201" s="65"/>
    </row>
    <row r="202" spans="1:7" x14ac:dyDescent="0.25">
      <c r="A202" s="198" t="s">
        <v>94</v>
      </c>
      <c r="B202" s="116" t="s">
        <v>483</v>
      </c>
      <c r="C202" s="284">
        <v>120</v>
      </c>
      <c r="D202" s="22">
        <f>'Функц. 2025-2027'!F797</f>
        <v>13465.4</v>
      </c>
      <c r="E202" s="22">
        <f>'Функц. 2025-2027'!H797</f>
        <v>13465.4</v>
      </c>
      <c r="F202" s="22">
        <f>'Функц. 2025-2027'!J797</f>
        <v>13465.4</v>
      </c>
      <c r="G202" s="65"/>
    </row>
    <row r="203" spans="1:7" x14ac:dyDescent="0.25">
      <c r="A203" s="198" t="s">
        <v>269</v>
      </c>
      <c r="B203" s="116" t="s">
        <v>484</v>
      </c>
      <c r="C203" s="284"/>
      <c r="D203" s="22">
        <f>D204+D206</f>
        <v>87.9</v>
      </c>
      <c r="E203" s="22">
        <f>E204+E206</f>
        <v>187.9</v>
      </c>
      <c r="F203" s="22">
        <f>F204+F206</f>
        <v>187.9</v>
      </c>
      <c r="G203" s="65"/>
    </row>
    <row r="204" spans="1:7" x14ac:dyDescent="0.25">
      <c r="A204" s="198" t="s">
        <v>118</v>
      </c>
      <c r="B204" s="116" t="s">
        <v>484</v>
      </c>
      <c r="C204" s="284">
        <v>200</v>
      </c>
      <c r="D204" s="22">
        <f>D205</f>
        <v>0</v>
      </c>
      <c r="E204" s="22">
        <f>E205</f>
        <v>187.9</v>
      </c>
      <c r="F204" s="22">
        <f>F205</f>
        <v>187.9</v>
      </c>
      <c r="G204" s="65"/>
    </row>
    <row r="205" spans="1:7" x14ac:dyDescent="0.25">
      <c r="A205" s="198" t="s">
        <v>51</v>
      </c>
      <c r="B205" s="116" t="s">
        <v>484</v>
      </c>
      <c r="C205" s="284">
        <v>240</v>
      </c>
      <c r="D205" s="22">
        <f>'Функц. 2025-2027'!F800</f>
        <v>0</v>
      </c>
      <c r="E205" s="22">
        <f>'Функц. 2025-2027'!H800</f>
        <v>187.9</v>
      </c>
      <c r="F205" s="22">
        <f>'Функц. 2025-2027'!J800</f>
        <v>187.9</v>
      </c>
      <c r="G205" s="65"/>
    </row>
    <row r="206" spans="1:7" x14ac:dyDescent="0.25">
      <c r="A206" s="294" t="s">
        <v>95</v>
      </c>
      <c r="B206" s="116" t="s">
        <v>484</v>
      </c>
      <c r="C206" s="284">
        <v>300</v>
      </c>
      <c r="D206" s="22">
        <f>D207</f>
        <v>87.9</v>
      </c>
      <c r="E206" s="22">
        <f>E207</f>
        <v>0</v>
      </c>
      <c r="F206" s="22">
        <f>F207</f>
        <v>0</v>
      </c>
      <c r="G206" s="65"/>
    </row>
    <row r="207" spans="1:7" x14ac:dyDescent="0.25">
      <c r="A207" s="294" t="s">
        <v>874</v>
      </c>
      <c r="B207" s="116" t="s">
        <v>484</v>
      </c>
      <c r="C207" s="284">
        <v>340</v>
      </c>
      <c r="D207" s="22">
        <f>'Функц. 2025-2027'!F802</f>
        <v>87.9</v>
      </c>
      <c r="E207" s="22">
        <f>'Функц. 2025-2027'!H802</f>
        <v>0</v>
      </c>
      <c r="F207" s="22">
        <f>'Функц. 2025-2027'!J802</f>
        <v>0</v>
      </c>
      <c r="G207" s="65"/>
    </row>
    <row r="208" spans="1:7" s="102" customFormat="1" x14ac:dyDescent="0.25">
      <c r="A208" s="262" t="s">
        <v>290</v>
      </c>
      <c r="B208" s="413" t="s">
        <v>107</v>
      </c>
      <c r="C208" s="396"/>
      <c r="D208" s="24">
        <f>D209+D214+D232+D239</f>
        <v>21518.2</v>
      </c>
      <c r="E208" s="24">
        <f t="shared" ref="E208:F208" si="52">E209+E214+E232+E239</f>
        <v>21607</v>
      </c>
      <c r="F208" s="24">
        <f t="shared" si="52"/>
        <v>21694</v>
      </c>
      <c r="G208" s="65"/>
    </row>
    <row r="209" spans="1:7" s="102" customFormat="1" x14ac:dyDescent="0.25">
      <c r="A209" s="199" t="s">
        <v>291</v>
      </c>
      <c r="B209" s="380" t="s">
        <v>116</v>
      </c>
      <c r="C209" s="397"/>
      <c r="D209" s="22">
        <f>D210</f>
        <v>8750</v>
      </c>
      <c r="E209" s="22">
        <f>E210</f>
        <v>9007</v>
      </c>
      <c r="F209" s="22">
        <f>F210</f>
        <v>9007</v>
      </c>
      <c r="G209" s="65"/>
    </row>
    <row r="210" spans="1:7" s="102" customFormat="1" ht="31.5" x14ac:dyDescent="0.25">
      <c r="A210" s="199" t="s">
        <v>461</v>
      </c>
      <c r="B210" s="116" t="s">
        <v>460</v>
      </c>
      <c r="C210" s="398"/>
      <c r="D210" s="22">
        <f t="shared" ref="D210:F211" si="53">D211</f>
        <v>8750</v>
      </c>
      <c r="E210" s="22">
        <f t="shared" si="53"/>
        <v>9007</v>
      </c>
      <c r="F210" s="22">
        <f t="shared" si="53"/>
        <v>9007</v>
      </c>
      <c r="G210" s="65"/>
    </row>
    <row r="211" spans="1:7" s="102" customFormat="1" ht="31.5" x14ac:dyDescent="0.25">
      <c r="A211" s="200" t="s">
        <v>293</v>
      </c>
      <c r="B211" s="116" t="s">
        <v>459</v>
      </c>
      <c r="C211" s="398"/>
      <c r="D211" s="22">
        <f t="shared" si="53"/>
        <v>8750</v>
      </c>
      <c r="E211" s="22">
        <f t="shared" si="53"/>
        <v>9007</v>
      </c>
      <c r="F211" s="22">
        <f t="shared" si="53"/>
        <v>9007</v>
      </c>
      <c r="G211" s="65"/>
    </row>
    <row r="212" spans="1:7" s="102" customFormat="1" x14ac:dyDescent="0.25">
      <c r="A212" s="198" t="s">
        <v>95</v>
      </c>
      <c r="B212" s="116" t="s">
        <v>459</v>
      </c>
      <c r="C212" s="284">
        <v>300</v>
      </c>
      <c r="D212" s="22">
        <f>D213</f>
        <v>8750</v>
      </c>
      <c r="E212" s="22">
        <f>E213</f>
        <v>9007</v>
      </c>
      <c r="F212" s="22">
        <f>F213</f>
        <v>9007</v>
      </c>
      <c r="G212" s="65"/>
    </row>
    <row r="213" spans="1:7" s="102" customFormat="1" x14ac:dyDescent="0.25">
      <c r="A213" s="198" t="s">
        <v>39</v>
      </c>
      <c r="B213" s="116" t="s">
        <v>459</v>
      </c>
      <c r="C213" s="284">
        <v>320</v>
      </c>
      <c r="D213" s="22">
        <f>'Функц. 2025-2027'!F904</f>
        <v>8750</v>
      </c>
      <c r="E213" s="22">
        <f>'Функц. 2025-2027'!H904</f>
        <v>9007</v>
      </c>
      <c r="F213" s="22">
        <f>'Функц. 2025-2027'!J904</f>
        <v>9007</v>
      </c>
      <c r="G213" s="65"/>
    </row>
    <row r="214" spans="1:7" x14ac:dyDescent="0.25">
      <c r="A214" s="199" t="s">
        <v>294</v>
      </c>
      <c r="B214" s="116" t="s">
        <v>108</v>
      </c>
      <c r="C214" s="284"/>
      <c r="D214" s="22">
        <f>D215</f>
        <v>7450.2</v>
      </c>
      <c r="E214" s="22">
        <f>E215</f>
        <v>7254</v>
      </c>
      <c r="F214" s="22">
        <f>F215</f>
        <v>7311</v>
      </c>
      <c r="G214" s="65"/>
    </row>
    <row r="215" spans="1:7" x14ac:dyDescent="0.25">
      <c r="A215" s="200" t="s">
        <v>499</v>
      </c>
      <c r="B215" s="116" t="s">
        <v>498</v>
      </c>
      <c r="C215" s="284"/>
      <c r="D215" s="22">
        <f>D221+D216</f>
        <v>7450.2</v>
      </c>
      <c r="E215" s="22">
        <f>E221</f>
        <v>7254</v>
      </c>
      <c r="F215" s="22">
        <f>F221</f>
        <v>7311</v>
      </c>
      <c r="G215" s="65"/>
    </row>
    <row r="216" spans="1:7" ht="47.25" x14ac:dyDescent="0.25">
      <c r="A216" s="453" t="s">
        <v>831</v>
      </c>
      <c r="B216" s="348" t="s">
        <v>832</v>
      </c>
      <c r="C216" s="297"/>
      <c r="D216" s="22">
        <f>D219+D217</f>
        <v>484.20000000000005</v>
      </c>
      <c r="E216" s="22">
        <f>E219</f>
        <v>0</v>
      </c>
      <c r="F216" s="22">
        <f>F219</f>
        <v>0</v>
      </c>
      <c r="G216" s="65"/>
    </row>
    <row r="217" spans="1:7" ht="31.5" x14ac:dyDescent="0.25">
      <c r="A217" s="294" t="s">
        <v>59</v>
      </c>
      <c r="B217" s="348" t="s">
        <v>832</v>
      </c>
      <c r="C217" s="297">
        <v>300</v>
      </c>
      <c r="D217" s="22">
        <f>D218</f>
        <v>245.9</v>
      </c>
      <c r="E217" s="22">
        <f>E218</f>
        <v>0</v>
      </c>
      <c r="F217" s="22">
        <f>F218</f>
        <v>0</v>
      </c>
      <c r="G217" s="65"/>
    </row>
    <row r="218" spans="1:7" x14ac:dyDescent="0.25">
      <c r="A218" s="294" t="s">
        <v>60</v>
      </c>
      <c r="B218" s="348" t="s">
        <v>832</v>
      </c>
      <c r="C218" s="297">
        <v>320</v>
      </c>
      <c r="D218" s="22">
        <f>'Функц. 2025-2027'!F808</f>
        <v>245.9</v>
      </c>
      <c r="E218" s="22">
        <f>'Функц. 2025-2027'!H808</f>
        <v>0</v>
      </c>
      <c r="F218" s="22">
        <f>'Функц. 2025-2027'!J808</f>
        <v>0</v>
      </c>
      <c r="G218" s="65"/>
    </row>
    <row r="219" spans="1:7" ht="31.5" x14ac:dyDescent="0.25">
      <c r="A219" s="294" t="s">
        <v>59</v>
      </c>
      <c r="B219" s="348" t="s">
        <v>832</v>
      </c>
      <c r="C219" s="297">
        <v>600</v>
      </c>
      <c r="D219" s="22">
        <f>D220</f>
        <v>238.3</v>
      </c>
      <c r="E219" s="22">
        <f>E220</f>
        <v>0</v>
      </c>
      <c r="F219" s="22">
        <f>F220</f>
        <v>0</v>
      </c>
      <c r="G219" s="65"/>
    </row>
    <row r="220" spans="1:7" x14ac:dyDescent="0.25">
      <c r="A220" s="294" t="s">
        <v>60</v>
      </c>
      <c r="B220" s="348" t="s">
        <v>832</v>
      </c>
      <c r="C220" s="297">
        <v>610</v>
      </c>
      <c r="D220" s="22">
        <f>'Функц. 2025-2027'!F810</f>
        <v>238.3</v>
      </c>
      <c r="E220" s="22">
        <f>'Функц. 2025-2027'!H810</f>
        <v>0</v>
      </c>
      <c r="F220" s="22">
        <f>'Функц. 2025-2027'!J810</f>
        <v>0</v>
      </c>
      <c r="G220" s="65"/>
    </row>
    <row r="221" spans="1:7" x14ac:dyDescent="0.25">
      <c r="A221" s="200" t="s">
        <v>295</v>
      </c>
      <c r="B221" s="116" t="s">
        <v>500</v>
      </c>
      <c r="C221" s="284"/>
      <c r="D221" s="22">
        <f>D222+D229</f>
        <v>6966</v>
      </c>
      <c r="E221" s="22">
        <f>E222+E229</f>
        <v>7254</v>
      </c>
      <c r="F221" s="22">
        <f>F222+F229</f>
        <v>7311</v>
      </c>
      <c r="G221" s="65"/>
    </row>
    <row r="222" spans="1:7" ht="47.25" x14ac:dyDescent="0.25">
      <c r="A222" s="200" t="s">
        <v>315</v>
      </c>
      <c r="B222" s="116" t="s">
        <v>501</v>
      </c>
      <c r="C222" s="284"/>
      <c r="D222" s="22">
        <f>D223+D227+D225</f>
        <v>5343.5999999999995</v>
      </c>
      <c r="E222" s="22">
        <f>E223+E227+E225</f>
        <v>5184</v>
      </c>
      <c r="F222" s="22">
        <f>F223+F227+F225</f>
        <v>5231</v>
      </c>
      <c r="G222" s="65"/>
    </row>
    <row r="223" spans="1:7" x14ac:dyDescent="0.25">
      <c r="A223" s="198" t="s">
        <v>118</v>
      </c>
      <c r="B223" s="116" t="s">
        <v>501</v>
      </c>
      <c r="C223" s="284">
        <v>200</v>
      </c>
      <c r="D223" s="22">
        <f>D224</f>
        <v>2500</v>
      </c>
      <c r="E223" s="22">
        <f>E224</f>
        <v>2820</v>
      </c>
      <c r="F223" s="22">
        <f>F224</f>
        <v>2840</v>
      </c>
      <c r="G223" s="65"/>
    </row>
    <row r="224" spans="1:7" x14ac:dyDescent="0.25">
      <c r="A224" s="198" t="s">
        <v>51</v>
      </c>
      <c r="B224" s="116" t="s">
        <v>501</v>
      </c>
      <c r="C224" s="284">
        <v>240</v>
      </c>
      <c r="D224" s="22">
        <f>'Функц. 2025-2027'!F814</f>
        <v>2500</v>
      </c>
      <c r="E224" s="22">
        <f>'Функц. 2025-2027'!H814</f>
        <v>2820</v>
      </c>
      <c r="F224" s="22">
        <f>'Функц. 2025-2027'!J814</f>
        <v>2840</v>
      </c>
      <c r="G224" s="65"/>
    </row>
    <row r="225" spans="1:7" x14ac:dyDescent="0.25">
      <c r="A225" s="294" t="s">
        <v>95</v>
      </c>
      <c r="B225" s="348" t="s">
        <v>501</v>
      </c>
      <c r="C225" s="297">
        <v>300</v>
      </c>
      <c r="D225" s="22">
        <f>D226</f>
        <v>0</v>
      </c>
      <c r="E225" s="22">
        <f>E226</f>
        <v>220</v>
      </c>
      <c r="F225" s="22">
        <f>F226</f>
        <v>220</v>
      </c>
      <c r="G225" s="65"/>
    </row>
    <row r="226" spans="1:7" x14ac:dyDescent="0.25">
      <c r="A226" s="294" t="s">
        <v>39</v>
      </c>
      <c r="B226" s="348" t="s">
        <v>501</v>
      </c>
      <c r="C226" s="297">
        <v>320</v>
      </c>
      <c r="D226" s="22">
        <f>'Функц. 2025-2027'!F816</f>
        <v>0</v>
      </c>
      <c r="E226" s="22">
        <f>'Функц. 2025-2027'!H816</f>
        <v>220</v>
      </c>
      <c r="F226" s="22">
        <f>'Функц. 2025-2027'!J816</f>
        <v>220</v>
      </c>
      <c r="G226" s="65"/>
    </row>
    <row r="227" spans="1:7" ht="31.5" x14ac:dyDescent="0.25">
      <c r="A227" s="198" t="s">
        <v>59</v>
      </c>
      <c r="B227" s="116" t="s">
        <v>501</v>
      </c>
      <c r="C227" s="284">
        <v>600</v>
      </c>
      <c r="D227" s="22">
        <f>D228</f>
        <v>2843.5999999999995</v>
      </c>
      <c r="E227" s="22">
        <f>E228</f>
        <v>2144</v>
      </c>
      <c r="F227" s="22">
        <f>F228</f>
        <v>2171</v>
      </c>
      <c r="G227" s="65"/>
    </row>
    <row r="228" spans="1:7" x14ac:dyDescent="0.25">
      <c r="A228" s="198" t="s">
        <v>60</v>
      </c>
      <c r="B228" s="116" t="s">
        <v>501</v>
      </c>
      <c r="C228" s="284">
        <v>610</v>
      </c>
      <c r="D228" s="22">
        <f>'Функц. 2025-2027'!F818</f>
        <v>2843.5999999999995</v>
      </c>
      <c r="E228" s="22">
        <f>'Функц. 2025-2027'!H818</f>
        <v>2144</v>
      </c>
      <c r="F228" s="22">
        <f>'Функц. 2025-2027'!J818</f>
        <v>2171</v>
      </c>
      <c r="G228" s="65"/>
    </row>
    <row r="229" spans="1:7" ht="31.5" x14ac:dyDescent="0.25">
      <c r="A229" s="198" t="s">
        <v>512</v>
      </c>
      <c r="B229" s="116" t="s">
        <v>502</v>
      </c>
      <c r="C229" s="284"/>
      <c r="D229" s="22">
        <f t="shared" ref="D229:F230" si="54">D230</f>
        <v>1622.4</v>
      </c>
      <c r="E229" s="22">
        <f t="shared" si="54"/>
        <v>2070</v>
      </c>
      <c r="F229" s="22">
        <f t="shared" si="54"/>
        <v>2080</v>
      </c>
      <c r="G229" s="65"/>
    </row>
    <row r="230" spans="1:7" ht="31.5" x14ac:dyDescent="0.25">
      <c r="A230" s="198" t="s">
        <v>59</v>
      </c>
      <c r="B230" s="116" t="s">
        <v>502</v>
      </c>
      <c r="C230" s="271">
        <v>600</v>
      </c>
      <c r="D230" s="22">
        <f t="shared" si="54"/>
        <v>1622.4</v>
      </c>
      <c r="E230" s="22">
        <f t="shared" si="54"/>
        <v>2070</v>
      </c>
      <c r="F230" s="22">
        <f t="shared" si="54"/>
        <v>2080</v>
      </c>
      <c r="G230" s="65"/>
    </row>
    <row r="231" spans="1:7" x14ac:dyDescent="0.25">
      <c r="A231" s="198" t="s">
        <v>60</v>
      </c>
      <c r="B231" s="116" t="s">
        <v>502</v>
      </c>
      <c r="C231" s="271">
        <v>610</v>
      </c>
      <c r="D231" s="22">
        <f>'Функц. 2025-2027'!F821</f>
        <v>1622.4</v>
      </c>
      <c r="E231" s="22">
        <f>'Функц. 2025-2027'!H821</f>
        <v>2070</v>
      </c>
      <c r="F231" s="22">
        <f>'Функц. 2025-2027'!J821</f>
        <v>2080</v>
      </c>
      <c r="G231" s="65"/>
    </row>
    <row r="232" spans="1:7" s="102" customFormat="1" x14ac:dyDescent="0.25">
      <c r="A232" s="182" t="s">
        <v>47</v>
      </c>
      <c r="B232" s="21" t="s">
        <v>396</v>
      </c>
      <c r="C232" s="284"/>
      <c r="D232" s="22">
        <f t="shared" ref="D232:F233" si="55">D233</f>
        <v>5178</v>
      </c>
      <c r="E232" s="22">
        <f t="shared" si="55"/>
        <v>5206</v>
      </c>
      <c r="F232" s="22">
        <f t="shared" si="55"/>
        <v>5236</v>
      </c>
      <c r="G232" s="65"/>
    </row>
    <row r="233" spans="1:7" s="102" customFormat="1" ht="47.25" x14ac:dyDescent="0.25">
      <c r="A233" s="182" t="s">
        <v>514</v>
      </c>
      <c r="B233" s="21" t="s">
        <v>513</v>
      </c>
      <c r="C233" s="284"/>
      <c r="D233" s="22">
        <f t="shared" si="55"/>
        <v>5178</v>
      </c>
      <c r="E233" s="22">
        <f t="shared" si="55"/>
        <v>5206</v>
      </c>
      <c r="F233" s="22">
        <f t="shared" si="55"/>
        <v>5236</v>
      </c>
      <c r="G233" s="65"/>
    </row>
    <row r="234" spans="1:7" s="102" customFormat="1" ht="47.25" x14ac:dyDescent="0.25">
      <c r="A234" s="252" t="s">
        <v>353</v>
      </c>
      <c r="B234" s="21" t="s">
        <v>515</v>
      </c>
      <c r="C234" s="284"/>
      <c r="D234" s="22">
        <f>D235+D237</f>
        <v>5178</v>
      </c>
      <c r="E234" s="22">
        <f>E235+E237</f>
        <v>5206</v>
      </c>
      <c r="F234" s="22">
        <f>F235+F237</f>
        <v>5236</v>
      </c>
      <c r="G234" s="65"/>
    </row>
    <row r="235" spans="1:7" s="102" customFormat="1" ht="47.25" x14ac:dyDescent="0.25">
      <c r="A235" s="252" t="s">
        <v>40</v>
      </c>
      <c r="B235" s="21" t="s">
        <v>515</v>
      </c>
      <c r="C235" s="271">
        <v>100</v>
      </c>
      <c r="D235" s="22">
        <f>D236</f>
        <v>4651.3999999999996</v>
      </c>
      <c r="E235" s="22">
        <f>'Функц. 2025-2027'!H53</f>
        <v>4659.6000000000004</v>
      </c>
      <c r="F235" s="22">
        <f>'Функц. 2025-2027'!J53</f>
        <v>4669.1000000000004</v>
      </c>
      <c r="G235" s="65"/>
    </row>
    <row r="236" spans="1:7" s="102" customFormat="1" x14ac:dyDescent="0.25">
      <c r="A236" s="252" t="s">
        <v>94</v>
      </c>
      <c r="B236" s="21" t="s">
        <v>515</v>
      </c>
      <c r="C236" s="284">
        <v>120</v>
      </c>
      <c r="D236" s="22">
        <f>'Функц. 2025-2027'!F53</f>
        <v>4651.3999999999996</v>
      </c>
      <c r="E236" s="22">
        <f>'Функц. 2025-2027'!H53</f>
        <v>4659.6000000000004</v>
      </c>
      <c r="F236" s="22">
        <f>'Функц. 2025-2027'!J53</f>
        <v>4669.1000000000004</v>
      </c>
      <c r="G236" s="65"/>
    </row>
    <row r="237" spans="1:7" s="102" customFormat="1" x14ac:dyDescent="0.25">
      <c r="A237" s="252" t="s">
        <v>118</v>
      </c>
      <c r="B237" s="21" t="s">
        <v>515</v>
      </c>
      <c r="C237" s="284">
        <v>200</v>
      </c>
      <c r="D237" s="22">
        <f>D238</f>
        <v>526.6</v>
      </c>
      <c r="E237" s="22">
        <f>E238</f>
        <v>546.4</v>
      </c>
      <c r="F237" s="22">
        <f>F238</f>
        <v>566.9</v>
      </c>
      <c r="G237" s="65"/>
    </row>
    <row r="238" spans="1:7" s="102" customFormat="1" x14ac:dyDescent="0.25">
      <c r="A238" s="252" t="s">
        <v>51</v>
      </c>
      <c r="B238" s="21" t="s">
        <v>515</v>
      </c>
      <c r="C238" s="284">
        <v>240</v>
      </c>
      <c r="D238" s="22">
        <f>'Функц. 2025-2027'!F55</f>
        <v>526.6</v>
      </c>
      <c r="E238" s="22">
        <f>'Функц. 2025-2027'!H55</f>
        <v>546.4</v>
      </c>
      <c r="F238" s="22">
        <f>'Функц. 2025-2027'!J55</f>
        <v>566.9</v>
      </c>
      <c r="G238" s="65"/>
    </row>
    <row r="239" spans="1:7" s="102" customFormat="1" ht="31.5" x14ac:dyDescent="0.25">
      <c r="A239" s="185" t="s">
        <v>339</v>
      </c>
      <c r="B239" s="116" t="s">
        <v>516</v>
      </c>
      <c r="C239" s="284"/>
      <c r="D239" s="22">
        <f>D240</f>
        <v>140</v>
      </c>
      <c r="E239" s="22">
        <f t="shared" ref="E239:F241" si="56">E240</f>
        <v>140</v>
      </c>
      <c r="F239" s="22">
        <f t="shared" si="56"/>
        <v>140</v>
      </c>
      <c r="G239" s="65"/>
    </row>
    <row r="240" spans="1:7" s="102" customFormat="1" x14ac:dyDescent="0.25">
      <c r="A240" s="200" t="s">
        <v>518</v>
      </c>
      <c r="B240" s="116" t="s">
        <v>517</v>
      </c>
      <c r="C240" s="284"/>
      <c r="D240" s="22">
        <f>D241+D244</f>
        <v>140</v>
      </c>
      <c r="E240" s="22">
        <f>E241+E244</f>
        <v>140</v>
      </c>
      <c r="F240" s="22">
        <f>F241+F244</f>
        <v>140</v>
      </c>
      <c r="G240" s="65"/>
    </row>
    <row r="241" spans="1:30" s="102" customFormat="1" x14ac:dyDescent="0.25">
      <c r="A241" s="277" t="s">
        <v>583</v>
      </c>
      <c r="B241" s="272" t="s">
        <v>584</v>
      </c>
      <c r="C241" s="278"/>
      <c r="D241" s="22">
        <f>D242</f>
        <v>70</v>
      </c>
      <c r="E241" s="22">
        <f t="shared" si="56"/>
        <v>70</v>
      </c>
      <c r="F241" s="22">
        <f t="shared" si="56"/>
        <v>70</v>
      </c>
      <c r="G241" s="65"/>
    </row>
    <row r="242" spans="1:30" s="102" customFormat="1" ht="31.5" x14ac:dyDescent="0.25">
      <c r="A242" s="279" t="s">
        <v>59</v>
      </c>
      <c r="B242" s="272" t="s">
        <v>584</v>
      </c>
      <c r="C242" s="278">
        <v>600</v>
      </c>
      <c r="D242" s="22">
        <f>D243</f>
        <v>70</v>
      </c>
      <c r="E242" s="22">
        <f>E243</f>
        <v>70</v>
      </c>
      <c r="F242" s="22">
        <f>F243</f>
        <v>70</v>
      </c>
      <c r="G242" s="65"/>
    </row>
    <row r="243" spans="1:30" s="102" customFormat="1" ht="31.5" x14ac:dyDescent="0.25">
      <c r="A243" s="280" t="s">
        <v>403</v>
      </c>
      <c r="B243" s="272" t="s">
        <v>584</v>
      </c>
      <c r="C243" s="278">
        <v>630</v>
      </c>
      <c r="D243" s="22">
        <f>'Функц. 2025-2027'!F949</f>
        <v>70</v>
      </c>
      <c r="E243" s="22">
        <f>'Функц. 2025-2027'!H949</f>
        <v>70</v>
      </c>
      <c r="F243" s="22">
        <f>'Функц. 2025-2027'!J949</f>
        <v>70</v>
      </c>
      <c r="G243" s="65"/>
    </row>
    <row r="244" spans="1:30" ht="31.5" x14ac:dyDescent="0.25">
      <c r="A244" s="183" t="s">
        <v>564</v>
      </c>
      <c r="B244" s="116" t="s">
        <v>565</v>
      </c>
      <c r="C244" s="393"/>
      <c r="D244" s="22">
        <f t="shared" ref="D244:F245" si="57">D245</f>
        <v>70</v>
      </c>
      <c r="E244" s="22">
        <f t="shared" si="57"/>
        <v>70</v>
      </c>
      <c r="F244" s="22">
        <f t="shared" si="57"/>
        <v>70</v>
      </c>
      <c r="G244" s="65"/>
    </row>
    <row r="245" spans="1:30" ht="31.5" x14ac:dyDescent="0.25">
      <c r="A245" s="252" t="s">
        <v>59</v>
      </c>
      <c r="B245" s="116" t="s">
        <v>565</v>
      </c>
      <c r="C245" s="393">
        <v>600</v>
      </c>
      <c r="D245" s="22">
        <f t="shared" si="57"/>
        <v>70</v>
      </c>
      <c r="E245" s="22">
        <f t="shared" si="57"/>
        <v>70</v>
      </c>
      <c r="F245" s="22">
        <f t="shared" si="57"/>
        <v>70</v>
      </c>
      <c r="G245" s="65"/>
    </row>
    <row r="246" spans="1:30" ht="31.5" x14ac:dyDescent="0.25">
      <c r="A246" s="270" t="s">
        <v>403</v>
      </c>
      <c r="B246" s="116" t="s">
        <v>565</v>
      </c>
      <c r="C246" s="393">
        <v>630</v>
      </c>
      <c r="D246" s="22">
        <f>'Функц. 2025-2027'!F952</f>
        <v>70</v>
      </c>
      <c r="E246" s="22">
        <f>'Функц. 2025-2027'!H952</f>
        <v>70</v>
      </c>
      <c r="F246" s="22">
        <f>'Функц. 2025-2027'!J952</f>
        <v>70</v>
      </c>
      <c r="G246" s="65"/>
    </row>
    <row r="247" spans="1:30" s="102" customFormat="1" x14ac:dyDescent="0.25">
      <c r="A247" s="263" t="s">
        <v>155</v>
      </c>
      <c r="B247" s="411" t="s">
        <v>113</v>
      </c>
      <c r="C247" s="392"/>
      <c r="D247" s="24">
        <f>D248+D260</f>
        <v>141138.6</v>
      </c>
      <c r="E247" s="24">
        <f>E248+E260</f>
        <v>124375.9</v>
      </c>
      <c r="F247" s="24">
        <f>F248+F260</f>
        <v>127463.3</v>
      </c>
      <c r="G247" s="65"/>
    </row>
    <row r="248" spans="1:30" s="102" customFormat="1" x14ac:dyDescent="0.25">
      <c r="A248" s="196" t="s">
        <v>156</v>
      </c>
      <c r="B248" s="116" t="s">
        <v>117</v>
      </c>
      <c r="C248" s="392"/>
      <c r="D248" s="22">
        <f>D249+D256</f>
        <v>10724.5</v>
      </c>
      <c r="E248" s="22">
        <f>E249+E256</f>
        <v>3632.9</v>
      </c>
      <c r="F248" s="22">
        <f>F249+F256</f>
        <v>5239.3</v>
      </c>
      <c r="G248" s="65"/>
    </row>
    <row r="249" spans="1:30" s="102" customFormat="1" ht="31.5" x14ac:dyDescent="0.25">
      <c r="A249" s="301" t="s">
        <v>734</v>
      </c>
      <c r="B249" s="116" t="s">
        <v>127</v>
      </c>
      <c r="C249" s="392"/>
      <c r="D249" s="22">
        <f t="shared" ref="D249:S250" si="58">D250</f>
        <v>5319.5</v>
      </c>
      <c r="E249" s="22">
        <f t="shared" si="58"/>
        <v>3632.9</v>
      </c>
      <c r="F249" s="22">
        <f t="shared" si="58"/>
        <v>5239.3</v>
      </c>
      <c r="G249" s="65"/>
    </row>
    <row r="250" spans="1:30" s="102" customFormat="1" ht="31.5" x14ac:dyDescent="0.25">
      <c r="A250" s="183" t="s">
        <v>519</v>
      </c>
      <c r="B250" s="116" t="s">
        <v>158</v>
      </c>
      <c r="C250" s="392"/>
      <c r="D250" s="22">
        <f>D251+D253</f>
        <v>5319.5</v>
      </c>
      <c r="E250" s="22">
        <f>E251+E253</f>
        <v>3632.9</v>
      </c>
      <c r="F250" s="22">
        <f>F251+F253</f>
        <v>5239.3</v>
      </c>
      <c r="G250" s="22">
        <f t="shared" si="58"/>
        <v>0</v>
      </c>
      <c r="H250" s="22">
        <f t="shared" si="58"/>
        <v>0</v>
      </c>
      <c r="I250" s="22">
        <f t="shared" si="58"/>
        <v>0</v>
      </c>
      <c r="J250" s="22">
        <f t="shared" si="58"/>
        <v>0</v>
      </c>
      <c r="K250" s="22">
        <f t="shared" si="58"/>
        <v>0</v>
      </c>
      <c r="L250" s="22">
        <f t="shared" si="58"/>
        <v>0</v>
      </c>
      <c r="M250" s="22">
        <f t="shared" si="58"/>
        <v>0</v>
      </c>
      <c r="N250" s="22">
        <f t="shared" si="58"/>
        <v>0</v>
      </c>
      <c r="O250" s="22">
        <f t="shared" si="58"/>
        <v>0</v>
      </c>
      <c r="P250" s="22">
        <f t="shared" si="58"/>
        <v>0</v>
      </c>
      <c r="Q250" s="22">
        <f t="shared" si="58"/>
        <v>0</v>
      </c>
      <c r="R250" s="22">
        <f t="shared" si="58"/>
        <v>0</v>
      </c>
      <c r="S250" s="22">
        <f t="shared" si="58"/>
        <v>0</v>
      </c>
      <c r="T250" s="22">
        <f t="shared" ref="T250:AD250" si="59">T251</f>
        <v>0</v>
      </c>
      <c r="U250" s="22">
        <f t="shared" si="59"/>
        <v>0</v>
      </c>
      <c r="V250" s="22">
        <f t="shared" si="59"/>
        <v>0</v>
      </c>
      <c r="W250" s="22">
        <f t="shared" si="59"/>
        <v>0</v>
      </c>
      <c r="X250" s="22">
        <f t="shared" si="59"/>
        <v>0</v>
      </c>
      <c r="Y250" s="22">
        <f t="shared" si="59"/>
        <v>0</v>
      </c>
      <c r="Z250" s="22">
        <f t="shared" si="59"/>
        <v>0</v>
      </c>
      <c r="AA250" s="22">
        <f t="shared" si="59"/>
        <v>0</v>
      </c>
      <c r="AB250" s="22">
        <f t="shared" si="59"/>
        <v>0</v>
      </c>
      <c r="AC250" s="22">
        <f t="shared" si="59"/>
        <v>0</v>
      </c>
      <c r="AD250" s="22">
        <f t="shared" si="59"/>
        <v>0</v>
      </c>
    </row>
    <row r="251" spans="1:30" s="102" customFormat="1" x14ac:dyDescent="0.25">
      <c r="A251" s="259" t="s">
        <v>118</v>
      </c>
      <c r="B251" s="116" t="s">
        <v>158</v>
      </c>
      <c r="C251" s="399">
        <v>200</v>
      </c>
      <c r="D251" s="22">
        <f>D252</f>
        <v>3649.5</v>
      </c>
      <c r="E251" s="22">
        <f>E252</f>
        <v>2857.9</v>
      </c>
      <c r="F251" s="22">
        <f>F252</f>
        <v>3239.3</v>
      </c>
      <c r="G251" s="65"/>
    </row>
    <row r="252" spans="1:30" s="102" customFormat="1" x14ac:dyDescent="0.25">
      <c r="A252" s="259" t="s">
        <v>51</v>
      </c>
      <c r="B252" s="116" t="s">
        <v>158</v>
      </c>
      <c r="C252" s="399">
        <v>240</v>
      </c>
      <c r="D252" s="22">
        <f>'Функц. 2025-2027'!F960</f>
        <v>3649.5</v>
      </c>
      <c r="E252" s="22">
        <f>'Функц. 2025-2027'!H960</f>
        <v>2857.9</v>
      </c>
      <c r="F252" s="22">
        <f>'Функц. 2025-2027'!J960</f>
        <v>3239.3</v>
      </c>
      <c r="G252" s="65"/>
    </row>
    <row r="253" spans="1:30" s="102" customFormat="1" ht="31.5" x14ac:dyDescent="0.25">
      <c r="A253" s="361" t="s">
        <v>59</v>
      </c>
      <c r="B253" s="116" t="s">
        <v>158</v>
      </c>
      <c r="C253" s="297">
        <v>600</v>
      </c>
      <c r="D253" s="22">
        <f>D254+D255</f>
        <v>1670</v>
      </c>
      <c r="E253" s="22">
        <f>E254+E255</f>
        <v>775</v>
      </c>
      <c r="F253" s="22">
        <f>F254+F255</f>
        <v>2000</v>
      </c>
      <c r="G253" s="65"/>
    </row>
    <row r="254" spans="1:30" s="102" customFormat="1" x14ac:dyDescent="0.25">
      <c r="A254" s="320" t="s">
        <v>60</v>
      </c>
      <c r="B254" s="116" t="s">
        <v>158</v>
      </c>
      <c r="C254" s="297">
        <v>610</v>
      </c>
      <c r="D254" s="22">
        <f>'Функц. 2025-2027'!F962</f>
        <v>450</v>
      </c>
      <c r="E254" s="22">
        <f>'Функц. 2025-2027'!H962</f>
        <v>450</v>
      </c>
      <c r="F254" s="22">
        <f>'Функц. 2025-2027'!J962</f>
        <v>1162</v>
      </c>
      <c r="G254" s="65"/>
    </row>
    <row r="255" spans="1:30" s="102" customFormat="1" x14ac:dyDescent="0.25">
      <c r="A255" s="362" t="s">
        <v>128</v>
      </c>
      <c r="B255" s="116" t="s">
        <v>158</v>
      </c>
      <c r="C255" s="297">
        <v>620</v>
      </c>
      <c r="D255" s="22">
        <f>'Функц. 2025-2027'!F963</f>
        <v>1220</v>
      </c>
      <c r="E255" s="22">
        <f>'Функц. 2025-2027'!H963</f>
        <v>325</v>
      </c>
      <c r="F255" s="22">
        <f>'Функц. 2025-2027'!J963</f>
        <v>838</v>
      </c>
      <c r="G255" s="65"/>
    </row>
    <row r="256" spans="1:30" s="102" customFormat="1" x14ac:dyDescent="0.25">
      <c r="A256" s="294" t="s">
        <v>675</v>
      </c>
      <c r="B256" s="409" t="s">
        <v>676</v>
      </c>
      <c r="C256" s="302"/>
      <c r="D256" s="22">
        <f t="shared" ref="D256:F258" si="60">D257</f>
        <v>5405</v>
      </c>
      <c r="E256" s="22">
        <f t="shared" si="60"/>
        <v>0</v>
      </c>
      <c r="F256" s="22">
        <f t="shared" si="60"/>
        <v>0</v>
      </c>
      <c r="G256" s="65"/>
    </row>
    <row r="257" spans="1:7" s="102" customFormat="1" x14ac:dyDescent="0.25">
      <c r="A257" s="294" t="s">
        <v>677</v>
      </c>
      <c r="B257" s="409" t="s">
        <v>678</v>
      </c>
      <c r="C257" s="302"/>
      <c r="D257" s="22">
        <f t="shared" si="60"/>
        <v>5405</v>
      </c>
      <c r="E257" s="22">
        <f t="shared" si="60"/>
        <v>0</v>
      </c>
      <c r="F257" s="22">
        <f t="shared" si="60"/>
        <v>0</v>
      </c>
      <c r="G257" s="65"/>
    </row>
    <row r="258" spans="1:7" s="102" customFormat="1" x14ac:dyDescent="0.25">
      <c r="A258" s="294" t="s">
        <v>118</v>
      </c>
      <c r="B258" s="409" t="s">
        <v>678</v>
      </c>
      <c r="C258" s="302">
        <v>200</v>
      </c>
      <c r="D258" s="22">
        <f t="shared" si="60"/>
        <v>5405</v>
      </c>
      <c r="E258" s="22">
        <f t="shared" si="60"/>
        <v>0</v>
      </c>
      <c r="F258" s="22">
        <f t="shared" si="60"/>
        <v>0</v>
      </c>
      <c r="G258" s="65"/>
    </row>
    <row r="259" spans="1:7" s="102" customFormat="1" x14ac:dyDescent="0.25">
      <c r="A259" s="294" t="s">
        <v>51</v>
      </c>
      <c r="B259" s="409" t="s">
        <v>678</v>
      </c>
      <c r="C259" s="302">
        <v>240</v>
      </c>
      <c r="D259" s="22">
        <f>'Функц. 2025-2027'!F967</f>
        <v>5405</v>
      </c>
      <c r="E259" s="22">
        <f>'Функц. 2025-2027'!H967</f>
        <v>0</v>
      </c>
      <c r="F259" s="22">
        <f>'Функц. 2025-2027'!J967</f>
        <v>0</v>
      </c>
      <c r="G259" s="65"/>
    </row>
    <row r="260" spans="1:7" s="102" customFormat="1" x14ac:dyDescent="0.25">
      <c r="A260" s="198" t="s">
        <v>590</v>
      </c>
      <c r="B260" s="116" t="s">
        <v>591</v>
      </c>
      <c r="C260" s="399"/>
      <c r="D260" s="22">
        <f>D261+D265</f>
        <v>130414.1</v>
      </c>
      <c r="E260" s="22">
        <f t="shared" ref="E260:F260" si="61">E261+E265</f>
        <v>120743</v>
      </c>
      <c r="F260" s="22">
        <f t="shared" si="61"/>
        <v>122224</v>
      </c>
      <c r="G260" s="65"/>
    </row>
    <row r="261" spans="1:7" s="102" customFormat="1" x14ac:dyDescent="0.25">
      <c r="A261" s="198" t="s">
        <v>593</v>
      </c>
      <c r="B261" s="116" t="s">
        <v>592</v>
      </c>
      <c r="C261" s="399"/>
      <c r="D261" s="22">
        <f t="shared" ref="D261:F263" si="62">D262</f>
        <v>127466.1</v>
      </c>
      <c r="E261" s="22">
        <f t="shared" si="62"/>
        <v>120743</v>
      </c>
      <c r="F261" s="22">
        <f t="shared" si="62"/>
        <v>122224</v>
      </c>
      <c r="G261" s="65"/>
    </row>
    <row r="262" spans="1:7" s="102" customFormat="1" ht="31.5" x14ac:dyDescent="0.25">
      <c r="A262" s="198" t="s">
        <v>595</v>
      </c>
      <c r="B262" s="116" t="s">
        <v>594</v>
      </c>
      <c r="C262" s="399"/>
      <c r="D262" s="22">
        <f t="shared" si="62"/>
        <v>127466.1</v>
      </c>
      <c r="E262" s="22">
        <f t="shared" si="62"/>
        <v>120743</v>
      </c>
      <c r="F262" s="22">
        <f t="shared" si="62"/>
        <v>122224</v>
      </c>
      <c r="G262" s="65"/>
    </row>
    <row r="263" spans="1:7" s="102" customFormat="1" ht="31.5" x14ac:dyDescent="0.25">
      <c r="A263" s="255" t="s">
        <v>59</v>
      </c>
      <c r="B263" s="116" t="s">
        <v>594</v>
      </c>
      <c r="C263" s="399">
        <v>600</v>
      </c>
      <c r="D263" s="22">
        <f t="shared" si="62"/>
        <v>127466.1</v>
      </c>
      <c r="E263" s="22">
        <f t="shared" si="62"/>
        <v>120743</v>
      </c>
      <c r="F263" s="22">
        <f t="shared" si="62"/>
        <v>122224</v>
      </c>
      <c r="G263" s="65"/>
    </row>
    <row r="264" spans="1:7" s="102" customFormat="1" x14ac:dyDescent="0.25">
      <c r="A264" s="198" t="s">
        <v>128</v>
      </c>
      <c r="B264" s="116" t="s">
        <v>594</v>
      </c>
      <c r="C264" s="399">
        <v>620</v>
      </c>
      <c r="D264" s="22">
        <f>'Функц. 2025-2027'!F974</f>
        <v>127466.1</v>
      </c>
      <c r="E264" s="22">
        <f>'Функц. 2025-2027'!H974</f>
        <v>120743</v>
      </c>
      <c r="F264" s="22">
        <f>'Функц. 2025-2027'!J974</f>
        <v>122224</v>
      </c>
      <c r="G264" s="65"/>
    </row>
    <row r="265" spans="1:7" s="102" customFormat="1" ht="31.5" x14ac:dyDescent="0.25">
      <c r="A265" s="450" t="s">
        <v>898</v>
      </c>
      <c r="B265" s="348" t="s">
        <v>900</v>
      </c>
      <c r="C265" s="372"/>
      <c r="D265" s="22">
        <f>D266</f>
        <v>2948</v>
      </c>
      <c r="E265" s="22">
        <f t="shared" ref="E265:F267" si="63">E266</f>
        <v>0</v>
      </c>
      <c r="F265" s="22">
        <f t="shared" si="63"/>
        <v>0</v>
      </c>
      <c r="G265" s="65"/>
    </row>
    <row r="266" spans="1:7" s="102" customFormat="1" ht="31.5" x14ac:dyDescent="0.25">
      <c r="A266" s="450" t="s">
        <v>893</v>
      </c>
      <c r="B266" s="348" t="s">
        <v>899</v>
      </c>
      <c r="C266" s="372"/>
      <c r="D266" s="22">
        <f>D267</f>
        <v>2948</v>
      </c>
      <c r="E266" s="22">
        <f t="shared" si="63"/>
        <v>0</v>
      </c>
      <c r="F266" s="22">
        <f t="shared" si="63"/>
        <v>0</v>
      </c>
      <c r="G266" s="65"/>
    </row>
    <row r="267" spans="1:7" s="102" customFormat="1" ht="31.5" x14ac:dyDescent="0.25">
      <c r="A267" s="294" t="s">
        <v>59</v>
      </c>
      <c r="B267" s="348" t="s">
        <v>899</v>
      </c>
      <c r="C267" s="372">
        <v>600</v>
      </c>
      <c r="D267" s="22">
        <f>D268</f>
        <v>2948</v>
      </c>
      <c r="E267" s="22">
        <f t="shared" si="63"/>
        <v>0</v>
      </c>
      <c r="F267" s="22">
        <f t="shared" si="63"/>
        <v>0</v>
      </c>
      <c r="G267" s="65"/>
    </row>
    <row r="268" spans="1:7" s="102" customFormat="1" x14ac:dyDescent="0.25">
      <c r="A268" s="450" t="s">
        <v>128</v>
      </c>
      <c r="B268" s="348" t="s">
        <v>899</v>
      </c>
      <c r="C268" s="372">
        <v>620</v>
      </c>
      <c r="D268" s="22">
        <f>'Функц. 2025-2027'!F978</f>
        <v>2948</v>
      </c>
      <c r="E268" s="22">
        <f>'Функц. 2025-2027'!H978</f>
        <v>0</v>
      </c>
      <c r="F268" s="22">
        <f>'Функц. 2025-2027'!J978</f>
        <v>0</v>
      </c>
      <c r="G268" s="65"/>
    </row>
    <row r="269" spans="1:7" ht="18.75" x14ac:dyDescent="0.3">
      <c r="A269" s="260" t="s">
        <v>236</v>
      </c>
      <c r="B269" s="411" t="s">
        <v>136</v>
      </c>
      <c r="C269" s="400"/>
      <c r="D269" s="24">
        <f t="shared" ref="D269:F271" si="64">D270</f>
        <v>919</v>
      </c>
      <c r="E269" s="24">
        <f t="shared" si="64"/>
        <v>919</v>
      </c>
      <c r="F269" s="24">
        <f t="shared" si="64"/>
        <v>919</v>
      </c>
      <c r="G269" s="65"/>
    </row>
    <row r="270" spans="1:7" ht="31.5" x14ac:dyDescent="0.3">
      <c r="A270" s="196" t="s">
        <v>520</v>
      </c>
      <c r="B270" s="116" t="s">
        <v>237</v>
      </c>
      <c r="C270" s="400"/>
      <c r="D270" s="22">
        <f t="shared" si="64"/>
        <v>919</v>
      </c>
      <c r="E270" s="22">
        <f t="shared" si="64"/>
        <v>919</v>
      </c>
      <c r="F270" s="22">
        <f t="shared" si="64"/>
        <v>919</v>
      </c>
      <c r="G270" s="65"/>
    </row>
    <row r="271" spans="1:7" ht="18.75" x14ac:dyDescent="0.3">
      <c r="A271" s="182" t="s">
        <v>521</v>
      </c>
      <c r="B271" s="116" t="s">
        <v>238</v>
      </c>
      <c r="C271" s="400"/>
      <c r="D271" s="22">
        <f t="shared" si="64"/>
        <v>919</v>
      </c>
      <c r="E271" s="22">
        <f t="shared" si="64"/>
        <v>919</v>
      </c>
      <c r="F271" s="22">
        <f t="shared" si="64"/>
        <v>919</v>
      </c>
      <c r="G271" s="65"/>
    </row>
    <row r="272" spans="1:7" ht="31.5" x14ac:dyDescent="0.25">
      <c r="A272" s="182" t="s">
        <v>417</v>
      </c>
      <c r="B272" s="116" t="s">
        <v>239</v>
      </c>
      <c r="C272" s="284"/>
      <c r="D272" s="22">
        <f>D275+D273</f>
        <v>919</v>
      </c>
      <c r="E272" s="22">
        <f>E275+E273</f>
        <v>919</v>
      </c>
      <c r="F272" s="22">
        <f>F275+F273</f>
        <v>919</v>
      </c>
      <c r="G272" s="65"/>
    </row>
    <row r="273" spans="1:7" ht="47.25" x14ac:dyDescent="0.25">
      <c r="A273" s="294" t="s">
        <v>40</v>
      </c>
      <c r="B273" s="348" t="s">
        <v>239</v>
      </c>
      <c r="C273" s="297">
        <v>100</v>
      </c>
      <c r="D273" s="22">
        <f>D274</f>
        <v>307</v>
      </c>
      <c r="E273" s="22">
        <f>E274</f>
        <v>0</v>
      </c>
      <c r="F273" s="22">
        <f>F274</f>
        <v>0</v>
      </c>
      <c r="G273" s="65"/>
    </row>
    <row r="274" spans="1:7" x14ac:dyDescent="0.25">
      <c r="A274" s="294" t="s">
        <v>94</v>
      </c>
      <c r="B274" s="348" t="s">
        <v>239</v>
      </c>
      <c r="C274" s="297">
        <v>120</v>
      </c>
      <c r="D274" s="22">
        <f>'Функц. 2025-2027'!F316</f>
        <v>307</v>
      </c>
      <c r="E274" s="22">
        <f>'Функц. 2025-2027'!H316</f>
        <v>0</v>
      </c>
      <c r="F274" s="22">
        <f>'Функц. 2025-2027'!J316</f>
        <v>0</v>
      </c>
      <c r="G274" s="65"/>
    </row>
    <row r="275" spans="1:7" x14ac:dyDescent="0.25">
      <c r="A275" s="198" t="s">
        <v>118</v>
      </c>
      <c r="B275" s="116" t="s">
        <v>239</v>
      </c>
      <c r="C275" s="271"/>
      <c r="D275" s="22">
        <f>D276</f>
        <v>612</v>
      </c>
      <c r="E275" s="22">
        <f>E276</f>
        <v>919</v>
      </c>
      <c r="F275" s="22">
        <f>F276</f>
        <v>919</v>
      </c>
      <c r="G275" s="65"/>
    </row>
    <row r="276" spans="1:7" x14ac:dyDescent="0.25">
      <c r="A276" s="198" t="s">
        <v>51</v>
      </c>
      <c r="B276" s="116" t="s">
        <v>239</v>
      </c>
      <c r="C276" s="284"/>
      <c r="D276" s="22">
        <f>'Функц. 2025-2027'!F318</f>
        <v>612</v>
      </c>
      <c r="E276" s="22">
        <f>'Функц. 2025-2027'!H318</f>
        <v>919</v>
      </c>
      <c r="F276" s="22">
        <f>'Функц. 2025-2027'!J318</f>
        <v>919</v>
      </c>
      <c r="G276" s="65"/>
    </row>
    <row r="277" spans="1:7" s="102" customFormat="1" x14ac:dyDescent="0.25">
      <c r="A277" s="181" t="s">
        <v>682</v>
      </c>
      <c r="B277" s="411" t="s">
        <v>683</v>
      </c>
      <c r="C277" s="398"/>
      <c r="D277" s="24">
        <f>D278</f>
        <v>134</v>
      </c>
      <c r="E277" s="24">
        <f t="shared" ref="E277:F280" si="65">E278</f>
        <v>134</v>
      </c>
      <c r="F277" s="24">
        <f t="shared" si="65"/>
        <v>134</v>
      </c>
      <c r="G277" s="58"/>
    </row>
    <row r="278" spans="1:7" x14ac:dyDescent="0.25">
      <c r="A278" s="255" t="s">
        <v>684</v>
      </c>
      <c r="B278" s="116" t="s">
        <v>685</v>
      </c>
      <c r="C278" s="284"/>
      <c r="D278" s="22">
        <f>D279</f>
        <v>134</v>
      </c>
      <c r="E278" s="22">
        <f t="shared" si="65"/>
        <v>134</v>
      </c>
      <c r="F278" s="22">
        <f t="shared" si="65"/>
        <v>134</v>
      </c>
      <c r="G278" s="65"/>
    </row>
    <row r="279" spans="1:7" x14ac:dyDescent="0.25">
      <c r="A279" s="255" t="s">
        <v>686</v>
      </c>
      <c r="B279" s="116" t="s">
        <v>687</v>
      </c>
      <c r="C279" s="284"/>
      <c r="D279" s="22">
        <f>D280</f>
        <v>134</v>
      </c>
      <c r="E279" s="22">
        <f t="shared" si="65"/>
        <v>134</v>
      </c>
      <c r="F279" s="22">
        <f t="shared" si="65"/>
        <v>134</v>
      </c>
      <c r="G279" s="65"/>
    </row>
    <row r="280" spans="1:7" ht="24.75" customHeight="1" x14ac:dyDescent="0.25">
      <c r="A280" s="255" t="s">
        <v>735</v>
      </c>
      <c r="B280" s="116" t="s">
        <v>688</v>
      </c>
      <c r="C280" s="284"/>
      <c r="D280" s="22">
        <f>D281</f>
        <v>134</v>
      </c>
      <c r="E280" s="22">
        <f t="shared" si="65"/>
        <v>134</v>
      </c>
      <c r="F280" s="22">
        <f t="shared" si="65"/>
        <v>134</v>
      </c>
      <c r="G280" s="65"/>
    </row>
    <row r="281" spans="1:7" ht="31.5" x14ac:dyDescent="0.25">
      <c r="A281" s="254" t="s">
        <v>59</v>
      </c>
      <c r="B281" s="116" t="s">
        <v>688</v>
      </c>
      <c r="C281" s="284">
        <v>600</v>
      </c>
      <c r="D281" s="22">
        <f>D282</f>
        <v>134</v>
      </c>
      <c r="E281" s="22">
        <f>E282</f>
        <v>134</v>
      </c>
      <c r="F281" s="22">
        <f>F282</f>
        <v>134</v>
      </c>
      <c r="G281" s="65"/>
    </row>
    <row r="282" spans="1:7" x14ac:dyDescent="0.25">
      <c r="A282" s="255" t="s">
        <v>60</v>
      </c>
      <c r="B282" s="116" t="s">
        <v>688</v>
      </c>
      <c r="C282" s="284">
        <v>610</v>
      </c>
      <c r="D282" s="22">
        <f>'Функц. 2025-2027'!F621</f>
        <v>134</v>
      </c>
      <c r="E282" s="22">
        <f>'Функц. 2025-2027'!H621</f>
        <v>134</v>
      </c>
      <c r="F282" s="22">
        <f>'Функц. 2025-2027'!J621</f>
        <v>134</v>
      </c>
      <c r="G282" s="65"/>
    </row>
    <row r="283" spans="1:7" s="102" customFormat="1" ht="31.5" x14ac:dyDescent="0.25">
      <c r="A283" s="262" t="s">
        <v>159</v>
      </c>
      <c r="B283" s="414" t="s">
        <v>100</v>
      </c>
      <c r="C283" s="392"/>
      <c r="D283" s="24">
        <f>D284+D314+D325+D338+D345+D352</f>
        <v>71662.7</v>
      </c>
      <c r="E283" s="24">
        <f>E284+E314+E325+E338+E352+E345</f>
        <v>30390</v>
      </c>
      <c r="F283" s="24">
        <f>F284+F314+F325+F338+F352+F345</f>
        <v>28356.400000000001</v>
      </c>
      <c r="G283" s="65"/>
    </row>
    <row r="284" spans="1:7" s="102" customFormat="1" x14ac:dyDescent="0.25">
      <c r="A284" s="199" t="s">
        <v>160</v>
      </c>
      <c r="B284" s="21" t="s">
        <v>104</v>
      </c>
      <c r="C284" s="271"/>
      <c r="D284" s="22">
        <f>D285+D289+D293+D297</f>
        <v>40890.5</v>
      </c>
      <c r="E284" s="22">
        <f>E285+E289+E293+E297</f>
        <v>17532</v>
      </c>
      <c r="F284" s="22">
        <f>F285+F289+F293+F297</f>
        <v>15462.4</v>
      </c>
      <c r="G284" s="65"/>
    </row>
    <row r="285" spans="1:7" s="102" customFormat="1" ht="31.5" x14ac:dyDescent="0.25">
      <c r="A285" s="200" t="s">
        <v>161</v>
      </c>
      <c r="B285" s="116" t="s">
        <v>121</v>
      </c>
      <c r="C285" s="271"/>
      <c r="D285" s="22">
        <f t="shared" ref="D285:F287" si="66">D286</f>
        <v>464.79999999999995</v>
      </c>
      <c r="E285" s="22">
        <f t="shared" si="66"/>
        <v>64.8</v>
      </c>
      <c r="F285" s="22">
        <f t="shared" si="66"/>
        <v>64.8</v>
      </c>
      <c r="G285" s="65"/>
    </row>
    <row r="286" spans="1:7" s="102" customFormat="1" ht="31.5" x14ac:dyDescent="0.25">
      <c r="A286" s="200" t="s">
        <v>162</v>
      </c>
      <c r="B286" s="116" t="s">
        <v>163</v>
      </c>
      <c r="C286" s="271"/>
      <c r="D286" s="22">
        <f>D287</f>
        <v>464.79999999999995</v>
      </c>
      <c r="E286" s="22">
        <f t="shared" si="66"/>
        <v>64.8</v>
      </c>
      <c r="F286" s="22">
        <f t="shared" si="66"/>
        <v>64.8</v>
      </c>
      <c r="G286" s="65"/>
    </row>
    <row r="287" spans="1:7" s="102" customFormat="1" ht="31.5" x14ac:dyDescent="0.25">
      <c r="A287" s="259" t="s">
        <v>59</v>
      </c>
      <c r="B287" s="116" t="s">
        <v>163</v>
      </c>
      <c r="C287" s="284">
        <v>600</v>
      </c>
      <c r="D287" s="22">
        <f t="shared" si="66"/>
        <v>464.79999999999995</v>
      </c>
      <c r="E287" s="22">
        <f t="shared" si="66"/>
        <v>64.8</v>
      </c>
      <c r="F287" s="22">
        <f t="shared" si="66"/>
        <v>64.8</v>
      </c>
      <c r="G287" s="65"/>
    </row>
    <row r="288" spans="1:7" s="102" customFormat="1" ht="31.5" x14ac:dyDescent="0.25">
      <c r="A288" s="259" t="s">
        <v>403</v>
      </c>
      <c r="B288" s="116" t="s">
        <v>163</v>
      </c>
      <c r="C288" s="284">
        <v>630</v>
      </c>
      <c r="D288" s="22">
        <f>'Функц. 2025-2027'!F299</f>
        <v>464.79999999999995</v>
      </c>
      <c r="E288" s="22">
        <f>'Функц. 2025-2027'!H299</f>
        <v>64.8</v>
      </c>
      <c r="F288" s="22">
        <f>'Функц. 2025-2027'!J299</f>
        <v>64.8</v>
      </c>
      <c r="G288" s="65"/>
    </row>
    <row r="289" spans="1:7" s="102" customFormat="1" ht="31.5" x14ac:dyDescent="0.25">
      <c r="A289" s="200" t="s">
        <v>522</v>
      </c>
      <c r="B289" s="116" t="s">
        <v>164</v>
      </c>
      <c r="C289" s="271"/>
      <c r="D289" s="22">
        <f t="shared" ref="D289:F290" si="67">D290</f>
        <v>286.8</v>
      </c>
      <c r="E289" s="22">
        <f t="shared" si="67"/>
        <v>295.2</v>
      </c>
      <c r="F289" s="22">
        <f t="shared" si="67"/>
        <v>295.2</v>
      </c>
      <c r="G289" s="65"/>
    </row>
    <row r="290" spans="1:7" s="102" customFormat="1" ht="31.5" x14ac:dyDescent="0.25">
      <c r="A290" s="199" t="s">
        <v>587</v>
      </c>
      <c r="B290" s="116" t="s">
        <v>588</v>
      </c>
      <c r="C290" s="271"/>
      <c r="D290" s="22">
        <f t="shared" si="67"/>
        <v>286.8</v>
      </c>
      <c r="E290" s="22">
        <f t="shared" si="67"/>
        <v>295.2</v>
      </c>
      <c r="F290" s="22">
        <f t="shared" si="67"/>
        <v>295.2</v>
      </c>
      <c r="G290" s="65"/>
    </row>
    <row r="291" spans="1:7" s="102" customFormat="1" x14ac:dyDescent="0.25">
      <c r="A291" s="198" t="s">
        <v>118</v>
      </c>
      <c r="B291" s="116" t="s">
        <v>588</v>
      </c>
      <c r="C291" s="284">
        <v>200</v>
      </c>
      <c r="D291" s="22">
        <f>D292</f>
        <v>286.8</v>
      </c>
      <c r="E291" s="22">
        <f>E292</f>
        <v>295.2</v>
      </c>
      <c r="F291" s="22">
        <f>F292</f>
        <v>295.2</v>
      </c>
      <c r="G291" s="65"/>
    </row>
    <row r="292" spans="1:7" s="102" customFormat="1" x14ac:dyDescent="0.25">
      <c r="A292" s="198" t="s">
        <v>51</v>
      </c>
      <c r="B292" s="116" t="s">
        <v>588</v>
      </c>
      <c r="C292" s="284">
        <v>240</v>
      </c>
      <c r="D292" s="22">
        <f>'Функц. 2025-2027'!F766</f>
        <v>286.8</v>
      </c>
      <c r="E292" s="22">
        <f>'Функц. 2025-2027'!H766</f>
        <v>295.2</v>
      </c>
      <c r="F292" s="22">
        <f>'Функц. 2025-2027'!J766</f>
        <v>295.2</v>
      </c>
      <c r="G292" s="65"/>
    </row>
    <row r="293" spans="1:7" s="102" customFormat="1" ht="31.5" x14ac:dyDescent="0.25">
      <c r="A293" s="200" t="s">
        <v>165</v>
      </c>
      <c r="B293" s="116" t="s">
        <v>166</v>
      </c>
      <c r="C293" s="284"/>
      <c r="D293" s="22">
        <f t="shared" ref="D293:F295" si="68">D294</f>
        <v>18274.400000000001</v>
      </c>
      <c r="E293" s="22">
        <f t="shared" si="68"/>
        <v>12054</v>
      </c>
      <c r="F293" s="22">
        <f t="shared" si="68"/>
        <v>9984.4</v>
      </c>
      <c r="G293" s="65"/>
    </row>
    <row r="294" spans="1:7" s="102" customFormat="1" x14ac:dyDescent="0.25">
      <c r="A294" s="199" t="s">
        <v>167</v>
      </c>
      <c r="B294" s="116" t="s">
        <v>168</v>
      </c>
      <c r="C294" s="284"/>
      <c r="D294" s="22">
        <f t="shared" si="68"/>
        <v>18274.400000000001</v>
      </c>
      <c r="E294" s="22">
        <f t="shared" si="68"/>
        <v>12054</v>
      </c>
      <c r="F294" s="22">
        <f t="shared" si="68"/>
        <v>9984.4</v>
      </c>
      <c r="G294" s="65"/>
    </row>
    <row r="295" spans="1:7" s="102" customFormat="1" x14ac:dyDescent="0.25">
      <c r="A295" s="198" t="s">
        <v>118</v>
      </c>
      <c r="B295" s="116" t="s">
        <v>168</v>
      </c>
      <c r="C295" s="284">
        <v>200</v>
      </c>
      <c r="D295" s="22">
        <f t="shared" si="68"/>
        <v>18274.400000000001</v>
      </c>
      <c r="E295" s="22">
        <f t="shared" si="68"/>
        <v>12054</v>
      </c>
      <c r="F295" s="22">
        <f t="shared" si="68"/>
        <v>9984.4</v>
      </c>
      <c r="G295" s="65"/>
    </row>
    <row r="296" spans="1:7" s="102" customFormat="1" x14ac:dyDescent="0.25">
      <c r="A296" s="198" t="s">
        <v>51</v>
      </c>
      <c r="B296" s="116" t="s">
        <v>168</v>
      </c>
      <c r="C296" s="284">
        <v>240</v>
      </c>
      <c r="D296" s="22">
        <f>'Функц. 2025-2027'!F303</f>
        <v>18274.400000000001</v>
      </c>
      <c r="E296" s="22">
        <f>'Функц. 2025-2027'!H303</f>
        <v>12054</v>
      </c>
      <c r="F296" s="22">
        <f>'Функц. 2025-2027'!J303</f>
        <v>9984.4</v>
      </c>
      <c r="G296" s="65"/>
    </row>
    <row r="297" spans="1:7" s="102" customFormat="1" x14ac:dyDescent="0.25">
      <c r="A297" s="197" t="s">
        <v>523</v>
      </c>
      <c r="B297" s="21" t="s">
        <v>331</v>
      </c>
      <c r="C297" s="285"/>
      <c r="D297" s="22">
        <f>D298+D301+D304+D311</f>
        <v>21864.5</v>
      </c>
      <c r="E297" s="22">
        <f>E298+E301+E304+E311</f>
        <v>5118</v>
      </c>
      <c r="F297" s="22">
        <f>F298+F301+F304+F311</f>
        <v>5118</v>
      </c>
      <c r="G297" s="65"/>
    </row>
    <row r="298" spans="1:7" s="102" customFormat="1" x14ac:dyDescent="0.25">
      <c r="A298" s="197" t="s">
        <v>244</v>
      </c>
      <c r="B298" s="116" t="s">
        <v>330</v>
      </c>
      <c r="C298" s="271"/>
      <c r="D298" s="22">
        <f t="shared" ref="D298:F299" si="69">D299</f>
        <v>607.70000000000005</v>
      </c>
      <c r="E298" s="22">
        <f t="shared" si="69"/>
        <v>0</v>
      </c>
      <c r="F298" s="22">
        <f t="shared" si="69"/>
        <v>0</v>
      </c>
      <c r="G298" s="65"/>
    </row>
    <row r="299" spans="1:7" s="102" customFormat="1" x14ac:dyDescent="0.25">
      <c r="A299" s="259" t="s">
        <v>118</v>
      </c>
      <c r="B299" s="116" t="s">
        <v>330</v>
      </c>
      <c r="C299" s="284">
        <v>200</v>
      </c>
      <c r="D299" s="22">
        <f t="shared" si="69"/>
        <v>607.70000000000005</v>
      </c>
      <c r="E299" s="22">
        <f t="shared" si="69"/>
        <v>0</v>
      </c>
      <c r="F299" s="22">
        <f t="shared" si="69"/>
        <v>0</v>
      </c>
      <c r="G299" s="65"/>
    </row>
    <row r="300" spans="1:7" s="102" customFormat="1" x14ac:dyDescent="0.25">
      <c r="A300" s="259" t="s">
        <v>51</v>
      </c>
      <c r="B300" s="116" t="s">
        <v>330</v>
      </c>
      <c r="C300" s="284">
        <v>240</v>
      </c>
      <c r="D300" s="22">
        <f>'Функц. 2025-2027'!F386</f>
        <v>607.70000000000005</v>
      </c>
      <c r="E300" s="22">
        <f>'Функц. 2025-2027'!H386</f>
        <v>0</v>
      </c>
      <c r="F300" s="22">
        <f>'Функц. 2025-2027'!J386</f>
        <v>0</v>
      </c>
      <c r="G300" s="65"/>
    </row>
    <row r="301" spans="1:7" x14ac:dyDescent="0.25">
      <c r="A301" s="200" t="s">
        <v>246</v>
      </c>
      <c r="B301" s="21" t="s">
        <v>351</v>
      </c>
      <c r="C301" s="285"/>
      <c r="D301" s="22">
        <f t="shared" ref="D301:F302" si="70">D302</f>
        <v>12913.5</v>
      </c>
      <c r="E301" s="22">
        <f t="shared" si="70"/>
        <v>1320</v>
      </c>
      <c r="F301" s="22">
        <f t="shared" si="70"/>
        <v>0</v>
      </c>
      <c r="G301" s="65"/>
    </row>
    <row r="302" spans="1:7" x14ac:dyDescent="0.25">
      <c r="A302" s="198" t="s">
        <v>118</v>
      </c>
      <c r="B302" s="21" t="s">
        <v>351</v>
      </c>
      <c r="C302" s="285" t="s">
        <v>36</v>
      </c>
      <c r="D302" s="22">
        <f t="shared" si="70"/>
        <v>12913.5</v>
      </c>
      <c r="E302" s="22">
        <f t="shared" si="70"/>
        <v>1320</v>
      </c>
      <c r="F302" s="22">
        <f t="shared" si="70"/>
        <v>0</v>
      </c>
      <c r="G302" s="65"/>
    </row>
    <row r="303" spans="1:7" x14ac:dyDescent="0.25">
      <c r="A303" s="198" t="s">
        <v>51</v>
      </c>
      <c r="B303" s="21" t="s">
        <v>351</v>
      </c>
      <c r="C303" s="285" t="s">
        <v>64</v>
      </c>
      <c r="D303" s="22">
        <f>'Функц. 2025-2027'!F488</f>
        <v>12913.5</v>
      </c>
      <c r="E303" s="22">
        <f>'Функц. 2025-2027'!H488</f>
        <v>1320</v>
      </c>
      <c r="F303" s="22">
        <f>'Функц. 2025-2027'!J488</f>
        <v>0</v>
      </c>
      <c r="G303" s="65"/>
    </row>
    <row r="304" spans="1:7" ht="31.5" x14ac:dyDescent="0.25">
      <c r="A304" s="200" t="s">
        <v>245</v>
      </c>
      <c r="B304" s="21" t="s">
        <v>333</v>
      </c>
      <c r="C304" s="285"/>
      <c r="D304" s="22">
        <f>D305+D307+D309</f>
        <v>7966.3</v>
      </c>
      <c r="E304" s="22">
        <f>E305+E307+E309</f>
        <v>3421</v>
      </c>
      <c r="F304" s="22">
        <f>F305+F307+F309</f>
        <v>4741</v>
      </c>
      <c r="G304" s="65"/>
    </row>
    <row r="305" spans="1:7" ht="47.25" x14ac:dyDescent="0.25">
      <c r="A305" s="198" t="s">
        <v>40</v>
      </c>
      <c r="B305" s="21" t="s">
        <v>333</v>
      </c>
      <c r="C305" s="285" t="s">
        <v>125</v>
      </c>
      <c r="D305" s="22">
        <f>D306</f>
        <v>7268.5</v>
      </c>
      <c r="E305" s="22">
        <f>E306</f>
        <v>2521.6</v>
      </c>
      <c r="F305" s="22">
        <f>F306</f>
        <v>3841.6</v>
      </c>
      <c r="G305" s="65"/>
    </row>
    <row r="306" spans="1:7" x14ac:dyDescent="0.25">
      <c r="A306" s="198" t="s">
        <v>67</v>
      </c>
      <c r="B306" s="21" t="s">
        <v>333</v>
      </c>
      <c r="C306" s="285" t="s">
        <v>126</v>
      </c>
      <c r="D306" s="22">
        <f>'Функц. 2025-2027'!F491</f>
        <v>7268.5</v>
      </c>
      <c r="E306" s="22">
        <f>'Функц. 2025-2027'!H491</f>
        <v>2521.6</v>
      </c>
      <c r="F306" s="22">
        <f>'Функц. 2025-2027'!J491</f>
        <v>3841.6</v>
      </c>
      <c r="G306" s="65"/>
    </row>
    <row r="307" spans="1:7" x14ac:dyDescent="0.25">
      <c r="A307" s="198" t="s">
        <v>118</v>
      </c>
      <c r="B307" s="21" t="s">
        <v>333</v>
      </c>
      <c r="C307" s="285" t="s">
        <v>36</v>
      </c>
      <c r="D307" s="22">
        <f>D308</f>
        <v>696.3</v>
      </c>
      <c r="E307" s="22">
        <f>E308</f>
        <v>899.4</v>
      </c>
      <c r="F307" s="22">
        <f>F308</f>
        <v>899.4</v>
      </c>
      <c r="G307" s="65"/>
    </row>
    <row r="308" spans="1:7" x14ac:dyDescent="0.25">
      <c r="A308" s="198" t="s">
        <v>51</v>
      </c>
      <c r="B308" s="21" t="s">
        <v>333</v>
      </c>
      <c r="C308" s="285" t="s">
        <v>64</v>
      </c>
      <c r="D308" s="25">
        <f>'Функц. 2025-2027'!F493</f>
        <v>696.3</v>
      </c>
      <c r="E308" s="25">
        <f>'Функц. 2025-2027'!H493</f>
        <v>899.4</v>
      </c>
      <c r="F308" s="25">
        <f>'Функц. 2025-2027'!J493</f>
        <v>899.4</v>
      </c>
      <c r="G308" s="65"/>
    </row>
    <row r="309" spans="1:7" x14ac:dyDescent="0.25">
      <c r="A309" s="294" t="s">
        <v>41</v>
      </c>
      <c r="B309" s="347" t="s">
        <v>333</v>
      </c>
      <c r="C309" s="314" t="s">
        <v>342</v>
      </c>
      <c r="D309" s="25">
        <f>D310</f>
        <v>1.5</v>
      </c>
      <c r="E309" s="25">
        <f>E310</f>
        <v>0</v>
      </c>
      <c r="F309" s="25">
        <f>F310</f>
        <v>0</v>
      </c>
      <c r="G309" s="65"/>
    </row>
    <row r="310" spans="1:7" x14ac:dyDescent="0.25">
      <c r="A310" s="294" t="s">
        <v>56</v>
      </c>
      <c r="B310" s="347" t="s">
        <v>333</v>
      </c>
      <c r="C310" s="314" t="s">
        <v>805</v>
      </c>
      <c r="D310" s="25">
        <f>'Функц. 2025-2027'!F495</f>
        <v>1.5</v>
      </c>
      <c r="E310" s="25">
        <f>'Функц. 2025-2027'!H495</f>
        <v>0</v>
      </c>
      <c r="F310" s="25">
        <f>'Функц. 2025-2027'!J495</f>
        <v>0</v>
      </c>
      <c r="G310" s="65"/>
    </row>
    <row r="311" spans="1:7" ht="47.25" x14ac:dyDescent="0.25">
      <c r="A311" s="255" t="s">
        <v>355</v>
      </c>
      <c r="B311" s="21" t="s">
        <v>354</v>
      </c>
      <c r="C311" s="284"/>
      <c r="D311" s="25">
        <f t="shared" ref="D311:F312" si="71">D312</f>
        <v>377</v>
      </c>
      <c r="E311" s="25">
        <f t="shared" si="71"/>
        <v>377</v>
      </c>
      <c r="F311" s="25">
        <f t="shared" si="71"/>
        <v>377</v>
      </c>
      <c r="G311" s="65"/>
    </row>
    <row r="312" spans="1:7" x14ac:dyDescent="0.25">
      <c r="A312" s="198" t="s">
        <v>118</v>
      </c>
      <c r="B312" s="21" t="s">
        <v>354</v>
      </c>
      <c r="C312" s="284">
        <v>200</v>
      </c>
      <c r="D312" s="25">
        <f t="shared" si="71"/>
        <v>377</v>
      </c>
      <c r="E312" s="25">
        <f t="shared" si="71"/>
        <v>377</v>
      </c>
      <c r="F312" s="25">
        <f t="shared" si="71"/>
        <v>377</v>
      </c>
      <c r="G312" s="65"/>
    </row>
    <row r="313" spans="1:7" x14ac:dyDescent="0.25">
      <c r="A313" s="198" t="s">
        <v>51</v>
      </c>
      <c r="B313" s="21" t="s">
        <v>354</v>
      </c>
      <c r="C313" s="284">
        <v>240</v>
      </c>
      <c r="D313" s="25">
        <f>'Функц. 2025-2027'!F389</f>
        <v>377</v>
      </c>
      <c r="E313" s="25">
        <f>'Функц. 2025-2027'!H389</f>
        <v>377</v>
      </c>
      <c r="F313" s="25">
        <f>'Функц. 2025-2027'!J389</f>
        <v>377</v>
      </c>
      <c r="G313" s="65"/>
    </row>
    <row r="314" spans="1:7" s="102" customFormat="1" ht="31.5" x14ac:dyDescent="0.25">
      <c r="A314" s="299" t="s">
        <v>705</v>
      </c>
      <c r="B314" s="116" t="s">
        <v>105</v>
      </c>
      <c r="C314" s="285"/>
      <c r="D314" s="22">
        <f>D315+D319</f>
        <v>415</v>
      </c>
      <c r="E314" s="22">
        <f>E315+E319</f>
        <v>567</v>
      </c>
      <c r="F314" s="22">
        <f>F315+F319</f>
        <v>567</v>
      </c>
      <c r="G314" s="65"/>
    </row>
    <row r="315" spans="1:7" s="102" customFormat="1" ht="31.5" x14ac:dyDescent="0.25">
      <c r="A315" s="200" t="s">
        <v>706</v>
      </c>
      <c r="B315" s="116" t="s">
        <v>169</v>
      </c>
      <c r="C315" s="285"/>
      <c r="D315" s="22">
        <f>D316</f>
        <v>340</v>
      </c>
      <c r="E315" s="22">
        <f>E316</f>
        <v>340</v>
      </c>
      <c r="F315" s="22">
        <f>F316</f>
        <v>340</v>
      </c>
      <c r="G315" s="65"/>
    </row>
    <row r="316" spans="1:7" s="102" customFormat="1" ht="33.75" customHeight="1" x14ac:dyDescent="0.25">
      <c r="A316" s="200" t="s">
        <v>736</v>
      </c>
      <c r="B316" s="116" t="s">
        <v>550</v>
      </c>
      <c r="C316" s="285"/>
      <c r="D316" s="22">
        <f>D317</f>
        <v>340</v>
      </c>
      <c r="E316" s="22">
        <f t="shared" ref="D316:F317" si="72">E317</f>
        <v>340</v>
      </c>
      <c r="F316" s="22">
        <f t="shared" si="72"/>
        <v>340</v>
      </c>
      <c r="G316" s="65"/>
    </row>
    <row r="317" spans="1:7" s="102" customFormat="1" x14ac:dyDescent="0.25">
      <c r="A317" s="259" t="s">
        <v>118</v>
      </c>
      <c r="B317" s="116" t="s">
        <v>550</v>
      </c>
      <c r="C317" s="401" t="s">
        <v>36</v>
      </c>
      <c r="D317" s="22">
        <f t="shared" si="72"/>
        <v>340</v>
      </c>
      <c r="E317" s="22">
        <f t="shared" si="72"/>
        <v>340</v>
      </c>
      <c r="F317" s="22">
        <f t="shared" si="72"/>
        <v>340</v>
      </c>
      <c r="G317" s="65"/>
    </row>
    <row r="318" spans="1:7" s="102" customFormat="1" x14ac:dyDescent="0.25">
      <c r="A318" s="259" t="s">
        <v>51</v>
      </c>
      <c r="B318" s="116" t="s">
        <v>550</v>
      </c>
      <c r="C318" s="401" t="s">
        <v>64</v>
      </c>
      <c r="D318" s="22">
        <f>'Функц. 2025-2027'!F265</f>
        <v>340</v>
      </c>
      <c r="E318" s="22">
        <f>'Функц. 2025-2027'!H265</f>
        <v>340</v>
      </c>
      <c r="F318" s="22">
        <f>'Функц. 2025-2027'!J265</f>
        <v>340</v>
      </c>
      <c r="G318" s="65"/>
    </row>
    <row r="319" spans="1:7" s="102" customFormat="1" ht="47.25" x14ac:dyDescent="0.25">
      <c r="A319" s="294" t="s">
        <v>708</v>
      </c>
      <c r="B319" s="116" t="s">
        <v>551</v>
      </c>
      <c r="C319" s="285"/>
      <c r="D319" s="22">
        <f>D320</f>
        <v>75</v>
      </c>
      <c r="E319" s="22">
        <f t="shared" ref="E319:F321" si="73">E320</f>
        <v>227</v>
      </c>
      <c r="F319" s="22">
        <f t="shared" si="73"/>
        <v>227</v>
      </c>
      <c r="G319" s="65"/>
    </row>
    <row r="320" spans="1:7" s="102" customFormat="1" ht="33.75" customHeight="1" x14ac:dyDescent="0.25">
      <c r="A320" s="255" t="s">
        <v>736</v>
      </c>
      <c r="B320" s="116" t="s">
        <v>552</v>
      </c>
      <c r="C320" s="285"/>
      <c r="D320" s="22">
        <f>D321+D323</f>
        <v>75</v>
      </c>
      <c r="E320" s="22">
        <f>E321+E323</f>
        <v>227</v>
      </c>
      <c r="F320" s="22">
        <f>F321+F323</f>
        <v>227</v>
      </c>
      <c r="G320" s="65"/>
    </row>
    <row r="321" spans="1:7" s="102" customFormat="1" x14ac:dyDescent="0.25">
      <c r="A321" s="255" t="s">
        <v>118</v>
      </c>
      <c r="B321" s="116" t="s">
        <v>552</v>
      </c>
      <c r="C321" s="285" t="s">
        <v>36</v>
      </c>
      <c r="D321" s="22">
        <f>D322</f>
        <v>0</v>
      </c>
      <c r="E321" s="22">
        <f t="shared" si="73"/>
        <v>227</v>
      </c>
      <c r="F321" s="22">
        <f t="shared" si="73"/>
        <v>227</v>
      </c>
      <c r="G321" s="65"/>
    </row>
    <row r="322" spans="1:7" s="102" customFormat="1" x14ac:dyDescent="0.25">
      <c r="A322" s="255" t="s">
        <v>51</v>
      </c>
      <c r="B322" s="116" t="s">
        <v>552</v>
      </c>
      <c r="C322" s="285" t="s">
        <v>64</v>
      </c>
      <c r="D322" s="22">
        <f>'Функц. 2025-2027'!F269</f>
        <v>0</v>
      </c>
      <c r="E322" s="22">
        <f>'Функц. 2025-2027'!H269</f>
        <v>227</v>
      </c>
      <c r="F322" s="22">
        <f>'Функц. 2025-2027'!J269</f>
        <v>227</v>
      </c>
      <c r="G322" s="65"/>
    </row>
    <row r="323" spans="1:7" s="102" customFormat="1" ht="31.5" x14ac:dyDescent="0.25">
      <c r="A323" s="255" t="s">
        <v>59</v>
      </c>
      <c r="B323" s="116" t="s">
        <v>552</v>
      </c>
      <c r="C323" s="285" t="s">
        <v>382</v>
      </c>
      <c r="D323" s="22">
        <f>D324</f>
        <v>75</v>
      </c>
      <c r="E323" s="22">
        <f>E324</f>
        <v>0</v>
      </c>
      <c r="F323" s="22">
        <f>F324</f>
        <v>0</v>
      </c>
      <c r="G323" s="65"/>
    </row>
    <row r="324" spans="1:7" s="102" customFormat="1" x14ac:dyDescent="0.25">
      <c r="A324" s="255" t="s">
        <v>60</v>
      </c>
      <c r="B324" s="116" t="s">
        <v>552</v>
      </c>
      <c r="C324" s="285" t="s">
        <v>383</v>
      </c>
      <c r="D324" s="22">
        <f>'Функц. 2025-2027'!F271</f>
        <v>75</v>
      </c>
      <c r="E324" s="22">
        <f>'Функц. 2025-2027'!H271</f>
        <v>0</v>
      </c>
      <c r="F324" s="22">
        <f>'Функц. 2025-2027'!J271</f>
        <v>0</v>
      </c>
      <c r="G324" s="65"/>
    </row>
    <row r="325" spans="1:7" s="102" customFormat="1" ht="31.5" x14ac:dyDescent="0.25">
      <c r="A325" s="199" t="s">
        <v>572</v>
      </c>
      <c r="B325" s="116" t="s">
        <v>101</v>
      </c>
      <c r="C325" s="271"/>
      <c r="D325" s="22">
        <f>D326+D334+D330</f>
        <v>1278.4000000000001</v>
      </c>
      <c r="E325" s="22">
        <f>E326+E334+E330</f>
        <v>1177</v>
      </c>
      <c r="F325" s="22">
        <f>F326+F334+F330</f>
        <v>1177</v>
      </c>
      <c r="G325" s="65"/>
    </row>
    <row r="326" spans="1:7" s="102" customFormat="1" ht="63" x14ac:dyDescent="0.25">
      <c r="A326" s="200" t="s">
        <v>574</v>
      </c>
      <c r="B326" s="116" t="s">
        <v>122</v>
      </c>
      <c r="C326" s="271"/>
      <c r="D326" s="22">
        <f t="shared" ref="D326:F328" si="74">D327</f>
        <v>728.4</v>
      </c>
      <c r="E326" s="22">
        <f t="shared" si="74"/>
        <v>727</v>
      </c>
      <c r="F326" s="22">
        <f t="shared" si="74"/>
        <v>727</v>
      </c>
      <c r="G326" s="65"/>
    </row>
    <row r="327" spans="1:7" s="102" customFormat="1" ht="31.5" x14ac:dyDescent="0.25">
      <c r="A327" s="200" t="s">
        <v>172</v>
      </c>
      <c r="B327" s="116" t="s">
        <v>173</v>
      </c>
      <c r="C327" s="271"/>
      <c r="D327" s="22">
        <f t="shared" si="74"/>
        <v>728.4</v>
      </c>
      <c r="E327" s="22">
        <f t="shared" si="74"/>
        <v>727</v>
      </c>
      <c r="F327" s="22">
        <f t="shared" si="74"/>
        <v>727</v>
      </c>
      <c r="G327" s="65"/>
    </row>
    <row r="328" spans="1:7" s="102" customFormat="1" x14ac:dyDescent="0.25">
      <c r="A328" s="198" t="s">
        <v>118</v>
      </c>
      <c r="B328" s="116" t="s">
        <v>173</v>
      </c>
      <c r="C328" s="271">
        <v>200</v>
      </c>
      <c r="D328" s="22">
        <f t="shared" si="74"/>
        <v>728.4</v>
      </c>
      <c r="E328" s="22">
        <f t="shared" si="74"/>
        <v>727</v>
      </c>
      <c r="F328" s="22">
        <f t="shared" si="74"/>
        <v>727</v>
      </c>
      <c r="G328" s="65"/>
    </row>
    <row r="329" spans="1:7" s="102" customFormat="1" x14ac:dyDescent="0.25">
      <c r="A329" s="198" t="s">
        <v>51</v>
      </c>
      <c r="B329" s="116" t="s">
        <v>173</v>
      </c>
      <c r="C329" s="271">
        <v>240</v>
      </c>
      <c r="D329" s="22">
        <f>'Функц. 2025-2027'!F250</f>
        <v>728.4</v>
      </c>
      <c r="E329" s="22">
        <f>'Функц. 2025-2027'!H250</f>
        <v>727</v>
      </c>
      <c r="F329" s="22">
        <f>'Функц. 2025-2027'!J250</f>
        <v>727</v>
      </c>
      <c r="G329" s="65"/>
    </row>
    <row r="330" spans="1:7" s="102" customFormat="1" ht="31.5" x14ac:dyDescent="0.25">
      <c r="A330" s="294" t="s">
        <v>667</v>
      </c>
      <c r="B330" s="409" t="s">
        <v>711</v>
      </c>
      <c r="C330" s="298"/>
      <c r="D330" s="22">
        <f>D331</f>
        <v>100</v>
      </c>
      <c r="E330" s="22">
        <f t="shared" ref="E330:F332" si="75">E331</f>
        <v>0</v>
      </c>
      <c r="F330" s="22">
        <f t="shared" si="75"/>
        <v>0</v>
      </c>
      <c r="G330" s="65"/>
    </row>
    <row r="331" spans="1:7" s="102" customFormat="1" ht="31.5" x14ac:dyDescent="0.25">
      <c r="A331" s="294" t="s">
        <v>668</v>
      </c>
      <c r="B331" s="409" t="s">
        <v>669</v>
      </c>
      <c r="C331" s="298"/>
      <c r="D331" s="22">
        <f>D332</f>
        <v>100</v>
      </c>
      <c r="E331" s="22">
        <f t="shared" si="75"/>
        <v>0</v>
      </c>
      <c r="F331" s="22">
        <f t="shared" si="75"/>
        <v>0</v>
      </c>
      <c r="G331" s="65"/>
    </row>
    <row r="332" spans="1:7" s="102" customFormat="1" x14ac:dyDescent="0.25">
      <c r="A332" s="294" t="s">
        <v>118</v>
      </c>
      <c r="B332" s="409" t="s">
        <v>669</v>
      </c>
      <c r="C332" s="298">
        <v>200</v>
      </c>
      <c r="D332" s="22">
        <f>D333</f>
        <v>100</v>
      </c>
      <c r="E332" s="22">
        <f t="shared" si="75"/>
        <v>0</v>
      </c>
      <c r="F332" s="22">
        <f t="shared" si="75"/>
        <v>0</v>
      </c>
      <c r="G332" s="65"/>
    </row>
    <row r="333" spans="1:7" s="102" customFormat="1" x14ac:dyDescent="0.25">
      <c r="A333" s="255" t="s">
        <v>51</v>
      </c>
      <c r="B333" s="409" t="s">
        <v>669</v>
      </c>
      <c r="C333" s="298">
        <v>240</v>
      </c>
      <c r="D333" s="22">
        <f>'Функц. 2025-2027'!F254</f>
        <v>100</v>
      </c>
      <c r="E333" s="22">
        <f>'Функц. 2025-2027'!H254</f>
        <v>0</v>
      </c>
      <c r="F333" s="22">
        <f>'Функц. 2025-2027'!J254</f>
        <v>0</v>
      </c>
      <c r="G333" s="65"/>
    </row>
    <row r="334" spans="1:7" s="102" customFormat="1" ht="47.25" x14ac:dyDescent="0.25">
      <c r="A334" s="184" t="s">
        <v>554</v>
      </c>
      <c r="B334" s="116" t="s">
        <v>553</v>
      </c>
      <c r="C334" s="285"/>
      <c r="D334" s="22">
        <f t="shared" ref="D334:F336" si="76">D335</f>
        <v>450</v>
      </c>
      <c r="E334" s="22">
        <f t="shared" si="76"/>
        <v>450</v>
      </c>
      <c r="F334" s="22">
        <f t="shared" si="76"/>
        <v>450</v>
      </c>
      <c r="G334" s="65"/>
    </row>
    <row r="335" spans="1:7" s="102" customFormat="1" ht="31.5" x14ac:dyDescent="0.25">
      <c r="A335" s="184" t="s">
        <v>555</v>
      </c>
      <c r="B335" s="116" t="s">
        <v>556</v>
      </c>
      <c r="C335" s="285"/>
      <c r="D335" s="22">
        <f t="shared" si="76"/>
        <v>450</v>
      </c>
      <c r="E335" s="22">
        <f t="shared" si="76"/>
        <v>450</v>
      </c>
      <c r="F335" s="22">
        <f t="shared" si="76"/>
        <v>450</v>
      </c>
      <c r="G335" s="65"/>
    </row>
    <row r="336" spans="1:7" s="102" customFormat="1" x14ac:dyDescent="0.25">
      <c r="A336" s="255" t="s">
        <v>118</v>
      </c>
      <c r="B336" s="116" t="s">
        <v>556</v>
      </c>
      <c r="C336" s="285" t="s">
        <v>36</v>
      </c>
      <c r="D336" s="22">
        <f t="shared" si="76"/>
        <v>450</v>
      </c>
      <c r="E336" s="22">
        <f t="shared" si="76"/>
        <v>450</v>
      </c>
      <c r="F336" s="22">
        <f t="shared" si="76"/>
        <v>450</v>
      </c>
      <c r="G336" s="65"/>
    </row>
    <row r="337" spans="1:7" s="102" customFormat="1" x14ac:dyDescent="0.25">
      <c r="A337" s="255" t="s">
        <v>51</v>
      </c>
      <c r="B337" s="116" t="s">
        <v>556</v>
      </c>
      <c r="C337" s="285" t="s">
        <v>64</v>
      </c>
      <c r="D337" s="22">
        <f>'Функц. 2025-2027'!F258</f>
        <v>450</v>
      </c>
      <c r="E337" s="22">
        <f>'Функц. 2025-2027'!H258</f>
        <v>450</v>
      </c>
      <c r="F337" s="22">
        <f>'Функц. 2025-2027'!J258</f>
        <v>450</v>
      </c>
      <c r="G337" s="65"/>
    </row>
    <row r="338" spans="1:7" s="102" customFormat="1" ht="31.5" x14ac:dyDescent="0.25">
      <c r="A338" s="182" t="s">
        <v>352</v>
      </c>
      <c r="B338" s="116" t="s">
        <v>102</v>
      </c>
      <c r="C338" s="284"/>
      <c r="D338" s="22">
        <f t="shared" ref="D338:F341" si="77">D339</f>
        <v>557.1</v>
      </c>
      <c r="E338" s="22">
        <f t="shared" si="77"/>
        <v>694</v>
      </c>
      <c r="F338" s="22">
        <f t="shared" si="77"/>
        <v>694</v>
      </c>
      <c r="G338" s="65"/>
    </row>
    <row r="339" spans="1:7" s="102" customFormat="1" ht="31.5" x14ac:dyDescent="0.25">
      <c r="A339" s="200" t="s">
        <v>557</v>
      </c>
      <c r="B339" s="116" t="s">
        <v>123</v>
      </c>
      <c r="C339" s="285"/>
      <c r="D339" s="22">
        <f>D340+D343</f>
        <v>557.1</v>
      </c>
      <c r="E339" s="22">
        <f>E340+E343</f>
        <v>694</v>
      </c>
      <c r="F339" s="22">
        <f>F340+F343</f>
        <v>694</v>
      </c>
      <c r="G339" s="65"/>
    </row>
    <row r="340" spans="1:7" s="102" customFormat="1" ht="31.5" x14ac:dyDescent="0.25">
      <c r="A340" s="198" t="s">
        <v>737</v>
      </c>
      <c r="B340" s="116" t="s">
        <v>171</v>
      </c>
      <c r="C340" s="284"/>
      <c r="D340" s="22">
        <f>D341</f>
        <v>307.10000000000002</v>
      </c>
      <c r="E340" s="22">
        <f t="shared" si="77"/>
        <v>355.5</v>
      </c>
      <c r="F340" s="22">
        <f t="shared" si="77"/>
        <v>435</v>
      </c>
      <c r="G340" s="65"/>
    </row>
    <row r="341" spans="1:7" s="102" customFormat="1" x14ac:dyDescent="0.25">
      <c r="A341" s="198" t="s">
        <v>118</v>
      </c>
      <c r="B341" s="116" t="s">
        <v>171</v>
      </c>
      <c r="C341" s="285" t="s">
        <v>36</v>
      </c>
      <c r="D341" s="22">
        <f t="shared" si="77"/>
        <v>307.10000000000002</v>
      </c>
      <c r="E341" s="22">
        <f t="shared" si="77"/>
        <v>355.5</v>
      </c>
      <c r="F341" s="22">
        <f t="shared" si="77"/>
        <v>435</v>
      </c>
      <c r="G341" s="65"/>
    </row>
    <row r="342" spans="1:7" s="102" customFormat="1" x14ac:dyDescent="0.25">
      <c r="A342" s="198" t="s">
        <v>51</v>
      </c>
      <c r="B342" s="116" t="s">
        <v>171</v>
      </c>
      <c r="C342" s="285" t="s">
        <v>64</v>
      </c>
      <c r="D342" s="22">
        <f>'Функц. 2025-2027'!F276</f>
        <v>307.10000000000002</v>
      </c>
      <c r="E342" s="22">
        <f>'Функц. 2025-2027'!H276</f>
        <v>355.5</v>
      </c>
      <c r="F342" s="22">
        <f>'Функц. 2025-2027'!J276</f>
        <v>435</v>
      </c>
      <c r="G342" s="65"/>
    </row>
    <row r="343" spans="1:7" s="102" customFormat="1" ht="31.5" x14ac:dyDescent="0.25">
      <c r="A343" s="255" t="s">
        <v>59</v>
      </c>
      <c r="B343" s="116" t="s">
        <v>171</v>
      </c>
      <c r="C343" s="285" t="s">
        <v>382</v>
      </c>
      <c r="D343" s="22">
        <f>D344</f>
        <v>250</v>
      </c>
      <c r="E343" s="22">
        <f>E344</f>
        <v>338.5</v>
      </c>
      <c r="F343" s="22">
        <f>F344</f>
        <v>259</v>
      </c>
      <c r="G343" s="65"/>
    </row>
    <row r="344" spans="1:7" s="102" customFormat="1" x14ac:dyDescent="0.25">
      <c r="A344" s="255" t="s">
        <v>60</v>
      </c>
      <c r="B344" s="116" t="s">
        <v>171</v>
      </c>
      <c r="C344" s="285" t="s">
        <v>383</v>
      </c>
      <c r="D344" s="22">
        <f>'Функц. 2025-2027'!F278</f>
        <v>250</v>
      </c>
      <c r="E344" s="22">
        <f>'Функц. 2025-2027'!H278</f>
        <v>338.5</v>
      </c>
      <c r="F344" s="22">
        <f>'Функц. 2025-2027'!J278</f>
        <v>259</v>
      </c>
      <c r="G344" s="65"/>
    </row>
    <row r="345" spans="1:7" s="102" customFormat="1" ht="31.5" x14ac:dyDescent="0.25">
      <c r="A345" s="255" t="s">
        <v>558</v>
      </c>
      <c r="B345" s="116" t="s">
        <v>106</v>
      </c>
      <c r="C345" s="285"/>
      <c r="D345" s="22">
        <f t="shared" ref="D345:F346" si="78">D346</f>
        <v>870</v>
      </c>
      <c r="E345" s="22">
        <f t="shared" si="78"/>
        <v>770</v>
      </c>
      <c r="F345" s="22">
        <f t="shared" si="78"/>
        <v>770</v>
      </c>
      <c r="G345" s="65"/>
    </row>
    <row r="346" spans="1:7" s="102" customFormat="1" ht="31.5" x14ac:dyDescent="0.25">
      <c r="A346" s="255" t="s">
        <v>559</v>
      </c>
      <c r="B346" s="116" t="s">
        <v>560</v>
      </c>
      <c r="C346" s="285"/>
      <c r="D346" s="22">
        <f t="shared" si="78"/>
        <v>870</v>
      </c>
      <c r="E346" s="22">
        <f t="shared" si="78"/>
        <v>770</v>
      </c>
      <c r="F346" s="22">
        <f t="shared" si="78"/>
        <v>770</v>
      </c>
      <c r="G346" s="65"/>
    </row>
    <row r="347" spans="1:7" s="102" customFormat="1" ht="31.5" x14ac:dyDescent="0.25">
      <c r="A347" s="255" t="s">
        <v>170</v>
      </c>
      <c r="B347" s="116" t="s">
        <v>561</v>
      </c>
      <c r="C347" s="285"/>
      <c r="D347" s="22">
        <f>D350+D348</f>
        <v>870</v>
      </c>
      <c r="E347" s="22">
        <f>E350+E348</f>
        <v>770</v>
      </c>
      <c r="F347" s="22">
        <f>F350+F348</f>
        <v>770</v>
      </c>
      <c r="G347" s="65"/>
    </row>
    <row r="348" spans="1:7" s="102" customFormat="1" x14ac:dyDescent="0.25">
      <c r="A348" s="294" t="s">
        <v>118</v>
      </c>
      <c r="B348" s="116" t="s">
        <v>561</v>
      </c>
      <c r="C348" s="285" t="s">
        <v>36</v>
      </c>
      <c r="D348" s="22">
        <f>D349</f>
        <v>100</v>
      </c>
      <c r="E348" s="22">
        <f>E349</f>
        <v>0</v>
      </c>
      <c r="F348" s="22">
        <f>F349</f>
        <v>0</v>
      </c>
      <c r="G348" s="65"/>
    </row>
    <row r="349" spans="1:7" s="102" customFormat="1" x14ac:dyDescent="0.25">
      <c r="A349" s="294" t="s">
        <v>51</v>
      </c>
      <c r="B349" s="116" t="s">
        <v>561</v>
      </c>
      <c r="C349" s="285" t="s">
        <v>64</v>
      </c>
      <c r="D349" s="22">
        <f>'Функц. 2025-2027'!F283</f>
        <v>100</v>
      </c>
      <c r="E349" s="22">
        <f>'Функц. 2025-2027'!H283</f>
        <v>0</v>
      </c>
      <c r="F349" s="22">
        <f>'Функц. 2025-2027'!J283</f>
        <v>0</v>
      </c>
      <c r="G349" s="65"/>
    </row>
    <row r="350" spans="1:7" s="102" customFormat="1" ht="31.5" x14ac:dyDescent="0.25">
      <c r="A350" s="255" t="s">
        <v>59</v>
      </c>
      <c r="B350" s="116" t="s">
        <v>561</v>
      </c>
      <c r="C350" s="285" t="s">
        <v>382</v>
      </c>
      <c r="D350" s="22">
        <f>D351</f>
        <v>770</v>
      </c>
      <c r="E350" s="22">
        <f>E351</f>
        <v>770</v>
      </c>
      <c r="F350" s="22">
        <f>F351</f>
        <v>770</v>
      </c>
      <c r="G350" s="65"/>
    </row>
    <row r="351" spans="1:7" s="102" customFormat="1" x14ac:dyDescent="0.25">
      <c r="A351" s="255" t="s">
        <v>60</v>
      </c>
      <c r="B351" s="116" t="s">
        <v>561</v>
      </c>
      <c r="C351" s="285" t="s">
        <v>383</v>
      </c>
      <c r="D351" s="22">
        <f>'Функц. 2025-2027'!F285</f>
        <v>770</v>
      </c>
      <c r="E351" s="22">
        <f>'Функц. 2025-2027'!H285</f>
        <v>770</v>
      </c>
      <c r="F351" s="22">
        <f>'Функц. 2025-2027'!J285</f>
        <v>770</v>
      </c>
      <c r="G351" s="65"/>
    </row>
    <row r="352" spans="1:7" s="102" customFormat="1" x14ac:dyDescent="0.25">
      <c r="A352" s="200" t="s">
        <v>47</v>
      </c>
      <c r="B352" s="116" t="s">
        <v>103</v>
      </c>
      <c r="C352" s="285"/>
      <c r="D352" s="22">
        <f t="shared" ref="D352:F353" si="79">D353</f>
        <v>27651.7</v>
      </c>
      <c r="E352" s="22">
        <f t="shared" si="79"/>
        <v>9650</v>
      </c>
      <c r="F352" s="22">
        <f t="shared" si="79"/>
        <v>9686</v>
      </c>
      <c r="G352" s="65"/>
    </row>
    <row r="353" spans="1:7" s="102" customFormat="1" ht="31.5" x14ac:dyDescent="0.25">
      <c r="A353" s="200" t="s">
        <v>267</v>
      </c>
      <c r="B353" s="116" t="s">
        <v>346</v>
      </c>
      <c r="C353" s="285"/>
      <c r="D353" s="22">
        <f t="shared" si="79"/>
        <v>27651.7</v>
      </c>
      <c r="E353" s="22">
        <f t="shared" si="79"/>
        <v>9650</v>
      </c>
      <c r="F353" s="22">
        <f t="shared" si="79"/>
        <v>9686</v>
      </c>
      <c r="G353" s="65"/>
    </row>
    <row r="354" spans="1:7" s="102" customFormat="1" x14ac:dyDescent="0.25">
      <c r="A354" s="200" t="s">
        <v>174</v>
      </c>
      <c r="B354" s="116" t="s">
        <v>175</v>
      </c>
      <c r="C354" s="285"/>
      <c r="D354" s="22">
        <f>D355+D357</f>
        <v>27651.7</v>
      </c>
      <c r="E354" s="22">
        <f>E355+E357</f>
        <v>9650</v>
      </c>
      <c r="F354" s="22">
        <f>F355+F357</f>
        <v>9686</v>
      </c>
      <c r="G354" s="65"/>
    </row>
    <row r="355" spans="1:7" s="102" customFormat="1" ht="47.25" x14ac:dyDescent="0.25">
      <c r="A355" s="198" t="s">
        <v>148</v>
      </c>
      <c r="B355" s="116" t="s">
        <v>175</v>
      </c>
      <c r="C355" s="285" t="s">
        <v>125</v>
      </c>
      <c r="D355" s="22">
        <f>D356</f>
        <v>25585.5</v>
      </c>
      <c r="E355" s="22">
        <f>E356</f>
        <v>7883.8</v>
      </c>
      <c r="F355" s="22">
        <f>F356</f>
        <v>7919.8</v>
      </c>
      <c r="G355" s="65"/>
    </row>
    <row r="356" spans="1:7" s="102" customFormat="1" x14ac:dyDescent="0.25">
      <c r="A356" s="198" t="s">
        <v>67</v>
      </c>
      <c r="B356" s="116" t="s">
        <v>175</v>
      </c>
      <c r="C356" s="285" t="s">
        <v>126</v>
      </c>
      <c r="D356" s="22">
        <f>'Функц. 2025-2027'!F290</f>
        <v>25585.5</v>
      </c>
      <c r="E356" s="22">
        <f>'Функц. 2025-2027'!H290</f>
        <v>7883.8</v>
      </c>
      <c r="F356" s="22">
        <f>'Функц. 2025-2027'!J290</f>
        <v>7919.8</v>
      </c>
      <c r="G356" s="65"/>
    </row>
    <row r="357" spans="1:7" s="102" customFormat="1" x14ac:dyDescent="0.25">
      <c r="A357" s="255" t="s">
        <v>118</v>
      </c>
      <c r="B357" s="116" t="s">
        <v>175</v>
      </c>
      <c r="C357" s="285" t="s">
        <v>36</v>
      </c>
      <c r="D357" s="22">
        <f>D358</f>
        <v>2066.1999999999998</v>
      </c>
      <c r="E357" s="22">
        <f>E358</f>
        <v>1766.2</v>
      </c>
      <c r="F357" s="22">
        <f>F358</f>
        <v>1766.2</v>
      </c>
      <c r="G357" s="65"/>
    </row>
    <row r="358" spans="1:7" s="102" customFormat="1" x14ac:dyDescent="0.25">
      <c r="A358" s="255" t="s">
        <v>51</v>
      </c>
      <c r="B358" s="116" t="s">
        <v>175</v>
      </c>
      <c r="C358" s="285" t="s">
        <v>64</v>
      </c>
      <c r="D358" s="22">
        <f>'Функц. 2025-2027'!F292</f>
        <v>2066.1999999999998</v>
      </c>
      <c r="E358" s="22">
        <f>'Функц. 2025-2027'!H292</f>
        <v>1766.2</v>
      </c>
      <c r="F358" s="22">
        <f>'Функц. 2025-2027'!J292</f>
        <v>1766.2</v>
      </c>
      <c r="G358" s="65"/>
    </row>
    <row r="359" spans="1:7" s="102" customFormat="1" x14ac:dyDescent="0.25">
      <c r="A359" s="262" t="s">
        <v>179</v>
      </c>
      <c r="B359" s="411" t="s">
        <v>114</v>
      </c>
      <c r="C359" s="398"/>
      <c r="D359" s="24">
        <f>D360+D368+D373</f>
        <v>30960.3</v>
      </c>
      <c r="E359" s="24">
        <f>E360+E368+E373</f>
        <v>32720.400000000001</v>
      </c>
      <c r="F359" s="24">
        <f>F360+F368+F373</f>
        <v>30120.5</v>
      </c>
      <c r="G359" s="65"/>
    </row>
    <row r="360" spans="1:7" x14ac:dyDescent="0.25">
      <c r="A360" s="199" t="s">
        <v>178</v>
      </c>
      <c r="B360" s="116" t="s">
        <v>141</v>
      </c>
      <c r="C360" s="284"/>
      <c r="D360" s="22">
        <f>D361</f>
        <v>16279.3</v>
      </c>
      <c r="E360" s="22">
        <f>E361</f>
        <v>29730.400000000001</v>
      </c>
      <c r="F360" s="22">
        <f>F361</f>
        <v>30120.5</v>
      </c>
      <c r="G360" s="65"/>
    </row>
    <row r="361" spans="1:7" ht="47.25" x14ac:dyDescent="0.25">
      <c r="A361" s="199" t="s">
        <v>420</v>
      </c>
      <c r="B361" s="116" t="s">
        <v>140</v>
      </c>
      <c r="C361" s="284"/>
      <c r="D361" s="22">
        <f>D365+D362</f>
        <v>16279.3</v>
      </c>
      <c r="E361" s="22">
        <f>E365+E362</f>
        <v>29730.400000000001</v>
      </c>
      <c r="F361" s="22">
        <f>F365+F362</f>
        <v>30120.5</v>
      </c>
      <c r="G361" s="65"/>
    </row>
    <row r="362" spans="1:7" ht="31.5" x14ac:dyDescent="0.25">
      <c r="A362" s="299" t="s">
        <v>815</v>
      </c>
      <c r="B362" s="348" t="s">
        <v>816</v>
      </c>
      <c r="C362" s="297"/>
      <c r="D362" s="22">
        <f t="shared" ref="D362:F363" si="80">D363</f>
        <v>561.29999999999995</v>
      </c>
      <c r="E362" s="22">
        <f t="shared" si="80"/>
        <v>0</v>
      </c>
      <c r="F362" s="22">
        <f t="shared" si="80"/>
        <v>0</v>
      </c>
      <c r="G362" s="65"/>
    </row>
    <row r="363" spans="1:7" x14ac:dyDescent="0.25">
      <c r="A363" s="294" t="s">
        <v>95</v>
      </c>
      <c r="B363" s="348" t="s">
        <v>816</v>
      </c>
      <c r="C363" s="297">
        <v>300</v>
      </c>
      <c r="D363" s="22">
        <f t="shared" si="80"/>
        <v>561.29999999999995</v>
      </c>
      <c r="E363" s="22">
        <f t="shared" si="80"/>
        <v>0</v>
      </c>
      <c r="F363" s="22">
        <f t="shared" si="80"/>
        <v>0</v>
      </c>
      <c r="G363" s="65"/>
    </row>
    <row r="364" spans="1:7" x14ac:dyDescent="0.25">
      <c r="A364" s="294" t="s">
        <v>23</v>
      </c>
      <c r="B364" s="348" t="s">
        <v>816</v>
      </c>
      <c r="C364" s="297">
        <v>320</v>
      </c>
      <c r="D364" s="22">
        <f>'Функц. 2025-2027'!F934</f>
        <v>561.29999999999995</v>
      </c>
      <c r="E364" s="22">
        <f>'Функц. 2025-2027'!H934</f>
        <v>0</v>
      </c>
      <c r="F364" s="22">
        <f>'Функц. 2025-2027'!J934</f>
        <v>0</v>
      </c>
      <c r="G364" s="65"/>
    </row>
    <row r="365" spans="1:7" x14ac:dyDescent="0.25">
      <c r="A365" s="199" t="s">
        <v>176</v>
      </c>
      <c r="B365" s="116" t="s">
        <v>177</v>
      </c>
      <c r="C365" s="284"/>
      <c r="D365" s="22">
        <f t="shared" ref="D365:F366" si="81">D366</f>
        <v>15718</v>
      </c>
      <c r="E365" s="22">
        <f t="shared" si="81"/>
        <v>29730.400000000001</v>
      </c>
      <c r="F365" s="22">
        <f t="shared" si="81"/>
        <v>30120.5</v>
      </c>
      <c r="G365" s="65"/>
    </row>
    <row r="366" spans="1:7" x14ac:dyDescent="0.25">
      <c r="A366" s="198" t="s">
        <v>95</v>
      </c>
      <c r="B366" s="116" t="s">
        <v>177</v>
      </c>
      <c r="C366" s="284">
        <v>300</v>
      </c>
      <c r="D366" s="22">
        <f t="shared" si="81"/>
        <v>15718</v>
      </c>
      <c r="E366" s="22">
        <f t="shared" si="81"/>
        <v>29730.400000000001</v>
      </c>
      <c r="F366" s="22">
        <f t="shared" si="81"/>
        <v>30120.5</v>
      </c>
      <c r="G366" s="65"/>
    </row>
    <row r="367" spans="1:7" x14ac:dyDescent="0.25">
      <c r="A367" s="198" t="s">
        <v>23</v>
      </c>
      <c r="B367" s="116" t="s">
        <v>177</v>
      </c>
      <c r="C367" s="284">
        <v>320</v>
      </c>
      <c r="D367" s="22">
        <f>'Функц. 2025-2027'!F937</f>
        <v>15718</v>
      </c>
      <c r="E367" s="22">
        <f>'Функц. 2025-2027'!H937</f>
        <v>29730.400000000001</v>
      </c>
      <c r="F367" s="22">
        <f>'Функц. 2025-2027'!J937</f>
        <v>30120.5</v>
      </c>
      <c r="G367" s="65"/>
    </row>
    <row r="368" spans="1:7" ht="31.5" x14ac:dyDescent="0.25">
      <c r="A368" s="253" t="s">
        <v>434</v>
      </c>
      <c r="B368" s="116" t="s">
        <v>144</v>
      </c>
      <c r="C368" s="402"/>
      <c r="D368" s="22">
        <f t="shared" ref="D368:F369" si="82">D369</f>
        <v>14681</v>
      </c>
      <c r="E368" s="22">
        <f t="shared" si="82"/>
        <v>0</v>
      </c>
      <c r="F368" s="22">
        <f t="shared" si="82"/>
        <v>0</v>
      </c>
      <c r="G368" s="65"/>
    </row>
    <row r="369" spans="1:30" ht="47.25" x14ac:dyDescent="0.25">
      <c r="A369" s="253" t="s">
        <v>435</v>
      </c>
      <c r="B369" s="116" t="s">
        <v>143</v>
      </c>
      <c r="C369" s="284"/>
      <c r="D369" s="22">
        <f t="shared" si="82"/>
        <v>14681</v>
      </c>
      <c r="E369" s="22">
        <f t="shared" si="82"/>
        <v>0</v>
      </c>
      <c r="F369" s="22">
        <f t="shared" si="82"/>
        <v>0</v>
      </c>
      <c r="G369" s="65"/>
    </row>
    <row r="370" spans="1:30" ht="31.5" x14ac:dyDescent="0.25">
      <c r="A370" s="199" t="s">
        <v>606</v>
      </c>
      <c r="B370" s="116" t="s">
        <v>142</v>
      </c>
      <c r="C370" s="284"/>
      <c r="D370" s="22">
        <f t="shared" ref="D370:F371" si="83">D371</f>
        <v>14681</v>
      </c>
      <c r="E370" s="22">
        <f t="shared" si="83"/>
        <v>0</v>
      </c>
      <c r="F370" s="22">
        <f t="shared" si="83"/>
        <v>0</v>
      </c>
      <c r="G370" s="65"/>
    </row>
    <row r="371" spans="1:30" x14ac:dyDescent="0.25">
      <c r="A371" s="198" t="s">
        <v>22</v>
      </c>
      <c r="B371" s="201" t="s">
        <v>142</v>
      </c>
      <c r="C371" s="284">
        <v>400</v>
      </c>
      <c r="D371" s="22">
        <f t="shared" si="83"/>
        <v>14681</v>
      </c>
      <c r="E371" s="22">
        <f t="shared" si="83"/>
        <v>0</v>
      </c>
      <c r="F371" s="22">
        <f t="shared" si="83"/>
        <v>0</v>
      </c>
      <c r="G371" s="65"/>
    </row>
    <row r="372" spans="1:30" x14ac:dyDescent="0.25">
      <c r="A372" s="198" t="s">
        <v>8</v>
      </c>
      <c r="B372" s="201" t="s">
        <v>142</v>
      </c>
      <c r="C372" s="284">
        <v>410</v>
      </c>
      <c r="D372" s="22">
        <f>'Функц. 2025-2027'!F942</f>
        <v>14681</v>
      </c>
      <c r="E372" s="22">
        <f>'Функц. 2025-2027'!H942</f>
        <v>0</v>
      </c>
      <c r="F372" s="22">
        <f>'Функц. 2025-2027'!J942</f>
        <v>0</v>
      </c>
      <c r="G372" s="65"/>
    </row>
    <row r="373" spans="1:30" ht="31.5" x14ac:dyDescent="0.25">
      <c r="A373" s="294" t="s">
        <v>660</v>
      </c>
      <c r="B373" s="409" t="s">
        <v>661</v>
      </c>
      <c r="C373" s="302"/>
      <c r="D373" s="22">
        <f>D374</f>
        <v>0</v>
      </c>
      <c r="E373" s="22">
        <f t="shared" ref="E373:F376" si="84">E374</f>
        <v>2990</v>
      </c>
      <c r="F373" s="22">
        <f t="shared" si="84"/>
        <v>0</v>
      </c>
      <c r="G373" s="65"/>
    </row>
    <row r="374" spans="1:30" ht="47.25" x14ac:dyDescent="0.25">
      <c r="A374" s="294" t="s">
        <v>663</v>
      </c>
      <c r="B374" s="409" t="s">
        <v>662</v>
      </c>
      <c r="C374" s="302"/>
      <c r="D374" s="22">
        <f>D375</f>
        <v>0</v>
      </c>
      <c r="E374" s="22">
        <f t="shared" si="84"/>
        <v>2990</v>
      </c>
      <c r="F374" s="22">
        <f t="shared" si="84"/>
        <v>0</v>
      </c>
      <c r="G374" s="65"/>
    </row>
    <row r="375" spans="1:30" ht="47.25" x14ac:dyDescent="0.25">
      <c r="A375" s="294" t="s">
        <v>665</v>
      </c>
      <c r="B375" s="409" t="s">
        <v>664</v>
      </c>
      <c r="C375" s="302"/>
      <c r="D375" s="22">
        <f>D376</f>
        <v>0</v>
      </c>
      <c r="E375" s="22">
        <f t="shared" si="84"/>
        <v>2990</v>
      </c>
      <c r="F375" s="22">
        <f t="shared" si="84"/>
        <v>0</v>
      </c>
      <c r="G375" s="65"/>
    </row>
    <row r="376" spans="1:30" x14ac:dyDescent="0.25">
      <c r="A376" s="294" t="s">
        <v>95</v>
      </c>
      <c r="B376" s="409" t="s">
        <v>664</v>
      </c>
      <c r="C376" s="302">
        <v>300</v>
      </c>
      <c r="D376" s="22">
        <f>D377</f>
        <v>0</v>
      </c>
      <c r="E376" s="22">
        <f t="shared" si="84"/>
        <v>2990</v>
      </c>
      <c r="F376" s="22">
        <f t="shared" si="84"/>
        <v>0</v>
      </c>
      <c r="G376" s="65"/>
    </row>
    <row r="377" spans="1:30" x14ac:dyDescent="0.25">
      <c r="A377" s="294" t="s">
        <v>39</v>
      </c>
      <c r="B377" s="409" t="s">
        <v>664</v>
      </c>
      <c r="C377" s="302">
        <v>320</v>
      </c>
      <c r="D377" s="22">
        <f>'Функц. 2025-2027'!F911</f>
        <v>0</v>
      </c>
      <c r="E377" s="22">
        <f>'Функц. 2025-2027'!H911</f>
        <v>2990</v>
      </c>
      <c r="F377" s="22">
        <f>'Функц. 2025-2027'!J911</f>
        <v>0</v>
      </c>
      <c r="G377" s="65"/>
    </row>
    <row r="378" spans="1:30" s="102" customFormat="1" ht="31.5" x14ac:dyDescent="0.25">
      <c r="A378" s="262" t="s">
        <v>576</v>
      </c>
      <c r="B378" s="411" t="s">
        <v>109</v>
      </c>
      <c r="C378" s="284"/>
      <c r="D378" s="24">
        <f>D391+D379+D430</f>
        <v>1728625.1</v>
      </c>
      <c r="E378" s="24">
        <f>E391+E379</f>
        <v>667598.49999999988</v>
      </c>
      <c r="F378" s="24">
        <f>F391+F379</f>
        <v>240743.3</v>
      </c>
      <c r="G378" s="65"/>
    </row>
    <row r="379" spans="1:30" s="102" customFormat="1" x14ac:dyDescent="0.25">
      <c r="A379" s="182" t="s">
        <v>578</v>
      </c>
      <c r="B379" s="116" t="s">
        <v>579</v>
      </c>
      <c r="C379" s="284"/>
      <c r="D379" s="22">
        <f>D380+D384+D387</f>
        <v>827470</v>
      </c>
      <c r="E379" s="22">
        <f t="shared" ref="E379:AD379" si="85">E380+E384+E387</f>
        <v>0</v>
      </c>
      <c r="F379" s="22">
        <f t="shared" si="85"/>
        <v>0</v>
      </c>
      <c r="G379" s="22">
        <f t="shared" si="85"/>
        <v>0</v>
      </c>
      <c r="H379" s="22">
        <f t="shared" si="85"/>
        <v>0</v>
      </c>
      <c r="I379" s="22">
        <f t="shared" si="85"/>
        <v>0</v>
      </c>
      <c r="J379" s="22">
        <f t="shared" si="85"/>
        <v>0</v>
      </c>
      <c r="K379" s="22">
        <f t="shared" si="85"/>
        <v>0</v>
      </c>
      <c r="L379" s="22">
        <f t="shared" si="85"/>
        <v>0</v>
      </c>
      <c r="M379" s="22">
        <f t="shared" si="85"/>
        <v>0</v>
      </c>
      <c r="N379" s="22">
        <f t="shared" si="85"/>
        <v>0</v>
      </c>
      <c r="O379" s="22">
        <f t="shared" si="85"/>
        <v>0</v>
      </c>
      <c r="P379" s="22">
        <f t="shared" si="85"/>
        <v>0</v>
      </c>
      <c r="Q379" s="22">
        <f t="shared" si="85"/>
        <v>0</v>
      </c>
      <c r="R379" s="22">
        <f t="shared" si="85"/>
        <v>0</v>
      </c>
      <c r="S379" s="22">
        <f t="shared" si="85"/>
        <v>0</v>
      </c>
      <c r="T379" s="22">
        <f t="shared" si="85"/>
        <v>0</v>
      </c>
      <c r="U379" s="22">
        <f t="shared" si="85"/>
        <v>0</v>
      </c>
      <c r="V379" s="22">
        <f t="shared" si="85"/>
        <v>0</v>
      </c>
      <c r="W379" s="22">
        <f t="shared" si="85"/>
        <v>0</v>
      </c>
      <c r="X379" s="22">
        <f t="shared" si="85"/>
        <v>0</v>
      </c>
      <c r="Y379" s="22">
        <f t="shared" si="85"/>
        <v>0</v>
      </c>
      <c r="Z379" s="22">
        <f t="shared" si="85"/>
        <v>0</v>
      </c>
      <c r="AA379" s="22">
        <f t="shared" si="85"/>
        <v>0</v>
      </c>
      <c r="AB379" s="22">
        <f t="shared" si="85"/>
        <v>0</v>
      </c>
      <c r="AC379" s="22">
        <f t="shared" si="85"/>
        <v>0</v>
      </c>
      <c r="AD379" s="22">
        <f t="shared" si="85"/>
        <v>0</v>
      </c>
    </row>
    <row r="380" spans="1:30" s="102" customFormat="1" ht="47.25" x14ac:dyDescent="0.25">
      <c r="A380" s="301" t="s">
        <v>742</v>
      </c>
      <c r="B380" s="409" t="s">
        <v>743</v>
      </c>
      <c r="C380" s="302"/>
      <c r="D380" s="22">
        <f>D381</f>
        <v>10</v>
      </c>
      <c r="E380" s="22">
        <f t="shared" ref="E380:F382" si="86">E381</f>
        <v>0</v>
      </c>
      <c r="F380" s="22">
        <f t="shared" si="86"/>
        <v>0</v>
      </c>
      <c r="G380" s="65"/>
    </row>
    <row r="381" spans="1:30" s="102" customFormat="1" ht="20.25" customHeight="1" x14ac:dyDescent="0.25">
      <c r="A381" s="301" t="s">
        <v>740</v>
      </c>
      <c r="B381" s="409" t="s">
        <v>741</v>
      </c>
      <c r="C381" s="302"/>
      <c r="D381" s="22">
        <f>D382</f>
        <v>10</v>
      </c>
      <c r="E381" s="22">
        <f t="shared" si="86"/>
        <v>0</v>
      </c>
      <c r="F381" s="22">
        <f t="shared" si="86"/>
        <v>0</v>
      </c>
      <c r="G381" s="65"/>
    </row>
    <row r="382" spans="1:30" s="102" customFormat="1" x14ac:dyDescent="0.25">
      <c r="A382" s="294" t="s">
        <v>118</v>
      </c>
      <c r="B382" s="409" t="s">
        <v>741</v>
      </c>
      <c r="C382" s="302">
        <v>200</v>
      </c>
      <c r="D382" s="22">
        <f>D383</f>
        <v>10</v>
      </c>
      <c r="E382" s="22">
        <f t="shared" si="86"/>
        <v>0</v>
      </c>
      <c r="F382" s="22">
        <f t="shared" si="86"/>
        <v>0</v>
      </c>
      <c r="G382" s="65"/>
    </row>
    <row r="383" spans="1:30" s="102" customFormat="1" x14ac:dyDescent="0.25">
      <c r="A383" s="294" t="s">
        <v>51</v>
      </c>
      <c r="B383" s="409" t="s">
        <v>741</v>
      </c>
      <c r="C383" s="302">
        <v>240</v>
      </c>
      <c r="D383" s="22">
        <f>'Функц. 2025-2027'!F611</f>
        <v>10</v>
      </c>
      <c r="E383" s="22">
        <f>'Функц. 2025-2027'!H611</f>
        <v>0</v>
      </c>
      <c r="F383" s="22">
        <f>'Функц. 2025-2027'!J611</f>
        <v>0</v>
      </c>
      <c r="G383" s="65"/>
    </row>
    <row r="384" spans="1:30" s="102" customFormat="1" ht="47.25" x14ac:dyDescent="0.25">
      <c r="A384" s="364" t="s">
        <v>760</v>
      </c>
      <c r="B384" s="348" t="s">
        <v>761</v>
      </c>
      <c r="C384" s="285"/>
      <c r="D384" s="22">
        <f t="shared" ref="D384:F385" si="87">D385</f>
        <v>824960</v>
      </c>
      <c r="E384" s="22">
        <f t="shared" si="87"/>
        <v>0</v>
      </c>
      <c r="F384" s="22">
        <f t="shared" si="87"/>
        <v>0</v>
      </c>
      <c r="G384" s="65"/>
    </row>
    <row r="385" spans="1:7" s="102" customFormat="1" x14ac:dyDescent="0.25">
      <c r="A385" s="255" t="s">
        <v>151</v>
      </c>
      <c r="B385" s="348" t="s">
        <v>761</v>
      </c>
      <c r="C385" s="285" t="s">
        <v>152</v>
      </c>
      <c r="D385" s="22">
        <f t="shared" si="87"/>
        <v>824960</v>
      </c>
      <c r="E385" s="22">
        <f t="shared" si="87"/>
        <v>0</v>
      </c>
      <c r="F385" s="22">
        <f t="shared" si="87"/>
        <v>0</v>
      </c>
      <c r="G385" s="65"/>
    </row>
    <row r="386" spans="1:7" s="102" customFormat="1" x14ac:dyDescent="0.25">
      <c r="A386" s="255" t="s">
        <v>8</v>
      </c>
      <c r="B386" s="348" t="s">
        <v>761</v>
      </c>
      <c r="C386" s="285" t="s">
        <v>153</v>
      </c>
      <c r="D386" s="22">
        <f>'Функц. 2025-2027'!F614</f>
        <v>824960</v>
      </c>
      <c r="E386" s="22">
        <f>'Функц. 2025-2027'!H614</f>
        <v>0</v>
      </c>
      <c r="F386" s="22">
        <f>'Функц. 2025-2027'!J614</f>
        <v>0</v>
      </c>
      <c r="G386" s="65"/>
    </row>
    <row r="387" spans="1:7" s="102" customFormat="1" ht="47.25" x14ac:dyDescent="0.25">
      <c r="A387" s="294" t="s">
        <v>851</v>
      </c>
      <c r="B387" s="348" t="s">
        <v>850</v>
      </c>
      <c r="C387" s="314"/>
      <c r="D387" s="22">
        <f>D388</f>
        <v>2500</v>
      </c>
      <c r="E387" s="22">
        <f t="shared" ref="E387:F389" si="88">E388</f>
        <v>0</v>
      </c>
      <c r="F387" s="22">
        <f t="shared" si="88"/>
        <v>0</v>
      </c>
      <c r="G387" s="65"/>
    </row>
    <row r="388" spans="1:7" s="102" customFormat="1" ht="47.25" x14ac:dyDescent="0.25">
      <c r="A388" s="294" t="s">
        <v>848</v>
      </c>
      <c r="B388" s="348" t="s">
        <v>847</v>
      </c>
      <c r="C388" s="314"/>
      <c r="D388" s="22">
        <f>D389</f>
        <v>2500</v>
      </c>
      <c r="E388" s="22">
        <f t="shared" si="88"/>
        <v>0</v>
      </c>
      <c r="F388" s="22">
        <f t="shared" si="88"/>
        <v>0</v>
      </c>
      <c r="G388" s="65"/>
    </row>
    <row r="389" spans="1:7" s="102" customFormat="1" x14ac:dyDescent="0.25">
      <c r="A389" s="294" t="s">
        <v>118</v>
      </c>
      <c r="B389" s="348" t="s">
        <v>847</v>
      </c>
      <c r="C389" s="127" t="s">
        <v>36</v>
      </c>
      <c r="D389" s="22">
        <f>D390</f>
        <v>2500</v>
      </c>
      <c r="E389" s="22">
        <f t="shared" si="88"/>
        <v>0</v>
      </c>
      <c r="F389" s="22">
        <f t="shared" si="88"/>
        <v>0</v>
      </c>
      <c r="G389" s="65"/>
    </row>
    <row r="390" spans="1:7" s="102" customFormat="1" x14ac:dyDescent="0.25">
      <c r="A390" s="294" t="s">
        <v>51</v>
      </c>
      <c r="B390" s="348" t="s">
        <v>847</v>
      </c>
      <c r="C390" s="127" t="s">
        <v>64</v>
      </c>
      <c r="D390" s="22">
        <f>'Функц. 2025-2027'!F422</f>
        <v>2500</v>
      </c>
      <c r="E390" s="22">
        <f>'Функц. 2025-2027'!H422</f>
        <v>0</v>
      </c>
      <c r="F390" s="22">
        <f>'Функц. 2025-2027'!J422</f>
        <v>0</v>
      </c>
      <c r="G390" s="65"/>
    </row>
    <row r="391" spans="1:7" s="102" customFormat="1" x14ac:dyDescent="0.25">
      <c r="A391" s="255" t="s">
        <v>524</v>
      </c>
      <c r="B391" s="116" t="s">
        <v>384</v>
      </c>
      <c r="C391" s="285"/>
      <c r="D391" s="22">
        <f>D392+D416+D426</f>
        <v>879381.3</v>
      </c>
      <c r="E391" s="22">
        <f>E392+E416+E426</f>
        <v>667598.49999999988</v>
      </c>
      <c r="F391" s="22">
        <f>F392+F416</f>
        <v>240743.3</v>
      </c>
      <c r="G391" s="65"/>
    </row>
    <row r="392" spans="1:7" s="102" customFormat="1" ht="31.5" x14ac:dyDescent="0.25">
      <c r="A392" s="255" t="s">
        <v>438</v>
      </c>
      <c r="B392" s="415" t="s">
        <v>437</v>
      </c>
      <c r="C392" s="285"/>
      <c r="D392" s="22">
        <f>D393+D400+D410+D413+D397</f>
        <v>335775.9</v>
      </c>
      <c r="E392" s="22">
        <f>E393+E400+E410+E413+E397</f>
        <v>602111.29999999993</v>
      </c>
      <c r="F392" s="22">
        <f>F393+F400+F410+F413+F397</f>
        <v>240743.3</v>
      </c>
      <c r="G392" s="65"/>
    </row>
    <row r="393" spans="1:7" s="102" customFormat="1" x14ac:dyDescent="0.25">
      <c r="A393" s="319" t="s">
        <v>544</v>
      </c>
      <c r="B393" s="327" t="s">
        <v>637</v>
      </c>
      <c r="C393" s="231"/>
      <c r="D393" s="22">
        <f>D394</f>
        <v>0</v>
      </c>
      <c r="E393" s="22">
        <f t="shared" ref="E393:F395" si="89">E394</f>
        <v>85557</v>
      </c>
      <c r="F393" s="22">
        <f t="shared" si="89"/>
        <v>0</v>
      </c>
      <c r="G393" s="65"/>
    </row>
    <row r="394" spans="1:7" s="102" customFormat="1" ht="31.5" x14ac:dyDescent="0.25">
      <c r="A394" s="294" t="s">
        <v>885</v>
      </c>
      <c r="B394" s="359" t="s">
        <v>886</v>
      </c>
      <c r="C394" s="314"/>
      <c r="D394" s="22">
        <f>D395</f>
        <v>0</v>
      </c>
      <c r="E394" s="22">
        <f t="shared" si="89"/>
        <v>85557</v>
      </c>
      <c r="F394" s="22">
        <f t="shared" si="89"/>
        <v>0</v>
      </c>
      <c r="G394" s="65"/>
    </row>
    <row r="395" spans="1:7" s="102" customFormat="1" x14ac:dyDescent="0.25">
      <c r="A395" s="294" t="s">
        <v>412</v>
      </c>
      <c r="B395" s="359" t="s">
        <v>886</v>
      </c>
      <c r="C395" s="314" t="s">
        <v>152</v>
      </c>
      <c r="D395" s="22">
        <f>D396</f>
        <v>0</v>
      </c>
      <c r="E395" s="22">
        <f t="shared" si="89"/>
        <v>85557</v>
      </c>
      <c r="F395" s="22">
        <f t="shared" si="89"/>
        <v>0</v>
      </c>
      <c r="G395" s="65"/>
    </row>
    <row r="396" spans="1:7" s="102" customFormat="1" x14ac:dyDescent="0.25">
      <c r="A396" s="294" t="s">
        <v>8</v>
      </c>
      <c r="B396" s="359" t="s">
        <v>886</v>
      </c>
      <c r="C396" s="314" t="s">
        <v>153</v>
      </c>
      <c r="D396" s="22">
        <f>'Функц. 2025-2027'!F428</f>
        <v>0</v>
      </c>
      <c r="E396" s="22">
        <f>'Функц. 2025-2027'!H428</f>
        <v>85557</v>
      </c>
      <c r="F396" s="22">
        <f>'Функц. 2025-2027'!J428</f>
        <v>0</v>
      </c>
      <c r="G396" s="65"/>
    </row>
    <row r="397" spans="1:7" s="102" customFormat="1" x14ac:dyDescent="0.25">
      <c r="A397" s="319" t="s">
        <v>544</v>
      </c>
      <c r="B397" s="359" t="s">
        <v>828</v>
      </c>
      <c r="C397" s="285"/>
      <c r="D397" s="22">
        <f t="shared" ref="D397:F398" si="90">D398</f>
        <v>29882.799999999981</v>
      </c>
      <c r="E397" s="22">
        <f t="shared" si="90"/>
        <v>0</v>
      </c>
      <c r="F397" s="22">
        <f t="shared" si="90"/>
        <v>0</v>
      </c>
      <c r="G397" s="65"/>
    </row>
    <row r="398" spans="1:7" s="102" customFormat="1" x14ac:dyDescent="0.25">
      <c r="A398" s="319" t="s">
        <v>412</v>
      </c>
      <c r="B398" s="359" t="s">
        <v>828</v>
      </c>
      <c r="C398" s="285" t="s">
        <v>152</v>
      </c>
      <c r="D398" s="22">
        <f t="shared" si="90"/>
        <v>29882.799999999981</v>
      </c>
      <c r="E398" s="22">
        <f t="shared" si="90"/>
        <v>0</v>
      </c>
      <c r="F398" s="22">
        <f t="shared" si="90"/>
        <v>0</v>
      </c>
      <c r="G398" s="65"/>
    </row>
    <row r="399" spans="1:7" s="102" customFormat="1" x14ac:dyDescent="0.25">
      <c r="A399" s="294" t="s">
        <v>8</v>
      </c>
      <c r="B399" s="359" t="s">
        <v>828</v>
      </c>
      <c r="C399" s="285" t="s">
        <v>153</v>
      </c>
      <c r="D399" s="22">
        <f>'Функц. 2025-2027'!F431</f>
        <v>29882.799999999981</v>
      </c>
      <c r="E399" s="22">
        <f>'Функц. 2025-2027'!H431</f>
        <v>0</v>
      </c>
      <c r="F399" s="22">
        <f>'Функц. 2025-2027'!J431</f>
        <v>0</v>
      </c>
      <c r="G399" s="65"/>
    </row>
    <row r="400" spans="1:7" s="102" customFormat="1" ht="31.5" x14ac:dyDescent="0.25">
      <c r="A400" s="294" t="s">
        <v>643</v>
      </c>
      <c r="B400" s="416" t="s">
        <v>642</v>
      </c>
      <c r="C400" s="309"/>
      <c r="D400" s="22">
        <f>D401+D404+D407</f>
        <v>621.20000000000005</v>
      </c>
      <c r="E400" s="22">
        <f>E401+E404+E407</f>
        <v>295713.39999999997</v>
      </c>
      <c r="F400" s="22">
        <f>F401+F404+F407</f>
        <v>240743.3</v>
      </c>
      <c r="G400" s="65"/>
    </row>
    <row r="401" spans="1:30" s="102" customFormat="1" ht="47.25" x14ac:dyDescent="0.25">
      <c r="A401" s="319" t="s">
        <v>702</v>
      </c>
      <c r="B401" s="416" t="s">
        <v>700</v>
      </c>
      <c r="C401" s="309"/>
      <c r="D401" s="22">
        <f t="shared" ref="D401:F402" si="91">D402</f>
        <v>0</v>
      </c>
      <c r="E401" s="22">
        <f t="shared" si="91"/>
        <v>51481.299999999996</v>
      </c>
      <c r="F401" s="22">
        <f t="shared" si="91"/>
        <v>120123</v>
      </c>
      <c r="G401" s="65"/>
    </row>
    <row r="402" spans="1:30" s="102" customFormat="1" x14ac:dyDescent="0.25">
      <c r="A402" s="319" t="s">
        <v>412</v>
      </c>
      <c r="B402" s="416" t="s">
        <v>700</v>
      </c>
      <c r="C402" s="309" t="s">
        <v>152</v>
      </c>
      <c r="D402" s="22">
        <f t="shared" si="91"/>
        <v>0</v>
      </c>
      <c r="E402" s="22">
        <f t="shared" si="91"/>
        <v>51481.299999999996</v>
      </c>
      <c r="F402" s="22">
        <f t="shared" si="91"/>
        <v>120123</v>
      </c>
      <c r="G402" s="65"/>
    </row>
    <row r="403" spans="1:30" s="102" customFormat="1" x14ac:dyDescent="0.25">
      <c r="A403" s="294" t="s">
        <v>8</v>
      </c>
      <c r="B403" s="416" t="s">
        <v>700</v>
      </c>
      <c r="C403" s="309" t="s">
        <v>153</v>
      </c>
      <c r="D403" s="22">
        <f>'Функц. 2025-2027'!F435</f>
        <v>0</v>
      </c>
      <c r="E403" s="22">
        <f>'Функц. 2025-2027'!H435</f>
        <v>51481.299999999996</v>
      </c>
      <c r="F403" s="22">
        <f>'Функц. 2025-2027'!J435</f>
        <v>120123</v>
      </c>
      <c r="G403" s="65"/>
    </row>
    <row r="404" spans="1:30" s="102" customFormat="1" ht="47.25" x14ac:dyDescent="0.25">
      <c r="A404" s="294" t="s">
        <v>703</v>
      </c>
      <c r="B404" s="416" t="s">
        <v>701</v>
      </c>
      <c r="C404" s="309"/>
      <c r="D404" s="22">
        <f t="shared" ref="D404:F405" si="92">D405</f>
        <v>0</v>
      </c>
      <c r="E404" s="22">
        <f t="shared" si="92"/>
        <v>120620.29999999999</v>
      </c>
      <c r="F404" s="22">
        <f t="shared" si="92"/>
        <v>120620.29999999999</v>
      </c>
      <c r="G404" s="65"/>
    </row>
    <row r="405" spans="1:30" s="102" customFormat="1" x14ac:dyDescent="0.25">
      <c r="A405" s="319" t="s">
        <v>412</v>
      </c>
      <c r="B405" s="416" t="s">
        <v>701</v>
      </c>
      <c r="C405" s="309" t="s">
        <v>152</v>
      </c>
      <c r="D405" s="22">
        <f t="shared" si="92"/>
        <v>0</v>
      </c>
      <c r="E405" s="22">
        <f t="shared" si="92"/>
        <v>120620.29999999999</v>
      </c>
      <c r="F405" s="22">
        <f t="shared" si="92"/>
        <v>120620.29999999999</v>
      </c>
      <c r="G405" s="65"/>
    </row>
    <row r="406" spans="1:30" s="102" customFormat="1" x14ac:dyDescent="0.25">
      <c r="A406" s="294" t="s">
        <v>8</v>
      </c>
      <c r="B406" s="416" t="s">
        <v>701</v>
      </c>
      <c r="C406" s="309" t="s">
        <v>153</v>
      </c>
      <c r="D406" s="22">
        <f>'Функц. 2025-2027'!F438</f>
        <v>0</v>
      </c>
      <c r="E406" s="22">
        <f>'Функц. 2025-2027'!H438</f>
        <v>120620.29999999999</v>
      </c>
      <c r="F406" s="22">
        <f>'Функц. 2025-2027'!J438</f>
        <v>120620.29999999999</v>
      </c>
      <c r="G406" s="65"/>
    </row>
    <row r="407" spans="1:30" s="102" customFormat="1" ht="47.25" x14ac:dyDescent="0.25">
      <c r="A407" s="294" t="s">
        <v>819</v>
      </c>
      <c r="B407" s="359" t="s">
        <v>820</v>
      </c>
      <c r="C407" s="314"/>
      <c r="D407" s="22">
        <f t="shared" ref="D407:F408" si="93">D408</f>
        <v>621.20000000000005</v>
      </c>
      <c r="E407" s="22">
        <f t="shared" si="93"/>
        <v>123611.8</v>
      </c>
      <c r="F407" s="22">
        <f t="shared" si="93"/>
        <v>0</v>
      </c>
      <c r="G407" s="65"/>
    </row>
    <row r="408" spans="1:30" s="102" customFormat="1" x14ac:dyDescent="0.25">
      <c r="A408" s="294" t="s">
        <v>412</v>
      </c>
      <c r="B408" s="359" t="s">
        <v>820</v>
      </c>
      <c r="C408" s="314" t="s">
        <v>152</v>
      </c>
      <c r="D408" s="22">
        <f t="shared" si="93"/>
        <v>621.20000000000005</v>
      </c>
      <c r="E408" s="22">
        <f t="shared" si="93"/>
        <v>123611.8</v>
      </c>
      <c r="F408" s="22">
        <f t="shared" si="93"/>
        <v>0</v>
      </c>
      <c r="G408" s="65"/>
    </row>
    <row r="409" spans="1:30" s="102" customFormat="1" x14ac:dyDescent="0.25">
      <c r="A409" s="294" t="s">
        <v>8</v>
      </c>
      <c r="B409" s="359" t="s">
        <v>820</v>
      </c>
      <c r="C409" s="314" t="s">
        <v>153</v>
      </c>
      <c r="D409" s="22">
        <f>'Функц. 2025-2027'!F441</f>
        <v>621.20000000000005</v>
      </c>
      <c r="E409" s="22">
        <f>'Функц. 2025-2027'!H441</f>
        <v>123611.8</v>
      </c>
      <c r="F409" s="22">
        <f>'Функц. 2025-2027'!J441</f>
        <v>0</v>
      </c>
      <c r="G409" s="65"/>
    </row>
    <row r="410" spans="1:30" s="102" customFormat="1" x14ac:dyDescent="0.25">
      <c r="A410" s="255" t="s">
        <v>628</v>
      </c>
      <c r="B410" s="416" t="s">
        <v>635</v>
      </c>
      <c r="C410" s="285"/>
      <c r="D410" s="22">
        <f t="shared" ref="D410:F411" si="94">D411</f>
        <v>112639.70000000004</v>
      </c>
      <c r="E410" s="22">
        <f t="shared" si="94"/>
        <v>220840.9</v>
      </c>
      <c r="F410" s="22">
        <f t="shared" si="94"/>
        <v>0</v>
      </c>
      <c r="G410" s="65"/>
    </row>
    <row r="411" spans="1:30" s="102" customFormat="1" x14ac:dyDescent="0.25">
      <c r="A411" s="255" t="s">
        <v>118</v>
      </c>
      <c r="B411" s="416" t="s">
        <v>635</v>
      </c>
      <c r="C411" s="285" t="s">
        <v>36</v>
      </c>
      <c r="D411" s="22">
        <f t="shared" si="94"/>
        <v>112639.70000000004</v>
      </c>
      <c r="E411" s="22">
        <f t="shared" si="94"/>
        <v>220840.9</v>
      </c>
      <c r="F411" s="22">
        <f t="shared" si="94"/>
        <v>0</v>
      </c>
      <c r="G411" s="65"/>
    </row>
    <row r="412" spans="1:30" s="102" customFormat="1" x14ac:dyDescent="0.25">
      <c r="A412" s="255" t="s">
        <v>51</v>
      </c>
      <c r="B412" s="416" t="s">
        <v>635</v>
      </c>
      <c r="C412" s="285" t="s">
        <v>64</v>
      </c>
      <c r="D412" s="22">
        <f>'Функц. 2025-2027'!F444</f>
        <v>112639.70000000004</v>
      </c>
      <c r="E412" s="22">
        <f>'Функц. 2025-2027'!H444</f>
        <v>220840.9</v>
      </c>
      <c r="F412" s="22">
        <f>'Функц. 2025-2027'!J444</f>
        <v>0</v>
      </c>
      <c r="G412" s="65"/>
    </row>
    <row r="413" spans="1:30" s="102" customFormat="1" ht="47.25" x14ac:dyDescent="0.25">
      <c r="A413" s="294" t="s">
        <v>830</v>
      </c>
      <c r="B413" s="359" t="s">
        <v>829</v>
      </c>
      <c r="C413" s="314"/>
      <c r="D413" s="22">
        <f t="shared" ref="D413:F414" si="95">D414</f>
        <v>192632.2</v>
      </c>
      <c r="E413" s="22">
        <f t="shared" si="95"/>
        <v>0</v>
      </c>
      <c r="F413" s="22">
        <f t="shared" si="95"/>
        <v>0</v>
      </c>
      <c r="G413" s="65"/>
    </row>
    <row r="414" spans="1:30" s="102" customFormat="1" x14ac:dyDescent="0.25">
      <c r="A414" s="294" t="s">
        <v>118</v>
      </c>
      <c r="B414" s="359" t="s">
        <v>829</v>
      </c>
      <c r="C414" s="314" t="s">
        <v>36</v>
      </c>
      <c r="D414" s="22">
        <f t="shared" si="95"/>
        <v>192632.2</v>
      </c>
      <c r="E414" s="22">
        <f t="shared" si="95"/>
        <v>0</v>
      </c>
      <c r="F414" s="22">
        <f t="shared" si="95"/>
        <v>0</v>
      </c>
      <c r="G414" s="65"/>
    </row>
    <row r="415" spans="1:30" s="102" customFormat="1" x14ac:dyDescent="0.25">
      <c r="A415" s="294" t="s">
        <v>51</v>
      </c>
      <c r="B415" s="359" t="s">
        <v>829</v>
      </c>
      <c r="C415" s="314" t="s">
        <v>64</v>
      </c>
      <c r="D415" s="22">
        <f>'Функц. 2025-2027'!F447</f>
        <v>192632.2</v>
      </c>
      <c r="E415" s="22">
        <f>'Функц. 2025-2027'!H447</f>
        <v>0</v>
      </c>
      <c r="F415" s="22">
        <f>'Функц. 2025-2027'!J447</f>
        <v>0</v>
      </c>
      <c r="G415" s="65"/>
    </row>
    <row r="416" spans="1:30" s="102" customFormat="1" ht="47.25" x14ac:dyDescent="0.25">
      <c r="A416" s="255" t="s">
        <v>709</v>
      </c>
      <c r="B416" s="116" t="s">
        <v>615</v>
      </c>
      <c r="C416" s="285"/>
      <c r="D416" s="22">
        <f>D420+D417+D423</f>
        <v>542713.4</v>
      </c>
      <c r="E416" s="22">
        <f t="shared" ref="E416:AD416" si="96">E420+E417+E423</f>
        <v>62987.199999999997</v>
      </c>
      <c r="F416" s="22">
        <f t="shared" si="96"/>
        <v>0</v>
      </c>
      <c r="G416" s="22">
        <f t="shared" si="96"/>
        <v>0</v>
      </c>
      <c r="H416" s="22">
        <f t="shared" si="96"/>
        <v>0</v>
      </c>
      <c r="I416" s="22">
        <f t="shared" si="96"/>
        <v>0</v>
      </c>
      <c r="J416" s="22">
        <f t="shared" si="96"/>
        <v>0</v>
      </c>
      <c r="K416" s="22">
        <f t="shared" si="96"/>
        <v>0</v>
      </c>
      <c r="L416" s="22">
        <f t="shared" si="96"/>
        <v>0</v>
      </c>
      <c r="M416" s="22">
        <f t="shared" si="96"/>
        <v>0</v>
      </c>
      <c r="N416" s="22">
        <f t="shared" si="96"/>
        <v>0</v>
      </c>
      <c r="O416" s="22">
        <f t="shared" si="96"/>
        <v>0</v>
      </c>
      <c r="P416" s="22">
        <f t="shared" si="96"/>
        <v>0</v>
      </c>
      <c r="Q416" s="22">
        <f t="shared" si="96"/>
        <v>0</v>
      </c>
      <c r="R416" s="22">
        <f t="shared" si="96"/>
        <v>0</v>
      </c>
      <c r="S416" s="22">
        <f t="shared" si="96"/>
        <v>0</v>
      </c>
      <c r="T416" s="22">
        <f t="shared" si="96"/>
        <v>0</v>
      </c>
      <c r="U416" s="22">
        <f t="shared" si="96"/>
        <v>0</v>
      </c>
      <c r="V416" s="22">
        <f t="shared" si="96"/>
        <v>0</v>
      </c>
      <c r="W416" s="22">
        <f t="shared" si="96"/>
        <v>0</v>
      </c>
      <c r="X416" s="22">
        <f t="shared" si="96"/>
        <v>0</v>
      </c>
      <c r="Y416" s="22">
        <f t="shared" si="96"/>
        <v>0</v>
      </c>
      <c r="Z416" s="22">
        <f t="shared" si="96"/>
        <v>0</v>
      </c>
      <c r="AA416" s="22">
        <f t="shared" si="96"/>
        <v>0</v>
      </c>
      <c r="AB416" s="22">
        <f t="shared" si="96"/>
        <v>0</v>
      </c>
      <c r="AC416" s="22">
        <f t="shared" si="96"/>
        <v>0</v>
      </c>
      <c r="AD416" s="22">
        <f t="shared" si="96"/>
        <v>0</v>
      </c>
    </row>
    <row r="417" spans="1:7" s="102" customFormat="1" ht="31.5" x14ac:dyDescent="0.25">
      <c r="A417" s="320" t="s">
        <v>766</v>
      </c>
      <c r="B417" s="348" t="s">
        <v>765</v>
      </c>
      <c r="C417" s="314"/>
      <c r="D417" s="22">
        <f t="shared" ref="D417:F418" si="97">D418</f>
        <v>1508</v>
      </c>
      <c r="E417" s="22">
        <f t="shared" si="97"/>
        <v>0</v>
      </c>
      <c r="F417" s="22">
        <f t="shared" si="97"/>
        <v>0</v>
      </c>
      <c r="G417" s="65"/>
    </row>
    <row r="418" spans="1:7" s="102" customFormat="1" x14ac:dyDescent="0.25">
      <c r="A418" s="320" t="s">
        <v>118</v>
      </c>
      <c r="B418" s="348" t="s">
        <v>765</v>
      </c>
      <c r="C418" s="314" t="s">
        <v>36</v>
      </c>
      <c r="D418" s="22">
        <f t="shared" si="97"/>
        <v>1508</v>
      </c>
      <c r="E418" s="22">
        <f t="shared" si="97"/>
        <v>0</v>
      </c>
      <c r="F418" s="22">
        <f t="shared" si="97"/>
        <v>0</v>
      </c>
      <c r="G418" s="65"/>
    </row>
    <row r="419" spans="1:7" s="102" customFormat="1" x14ac:dyDescent="0.25">
      <c r="A419" s="320" t="s">
        <v>51</v>
      </c>
      <c r="B419" s="348" t="s">
        <v>765</v>
      </c>
      <c r="C419" s="314" t="s">
        <v>64</v>
      </c>
      <c r="D419" s="22">
        <f>'Функц. 2025-2027'!F451</f>
        <v>1508</v>
      </c>
      <c r="E419" s="22">
        <f>'Функц. 2025-2027'!H451</f>
        <v>0</v>
      </c>
      <c r="F419" s="22">
        <f>'Функц. 2025-2027'!J451</f>
        <v>0</v>
      </c>
      <c r="G419" s="65"/>
    </row>
    <row r="420" spans="1:7" s="102" customFormat="1" ht="31.5" x14ac:dyDescent="0.25">
      <c r="A420" s="255" t="s">
        <v>629</v>
      </c>
      <c r="B420" s="416" t="s">
        <v>636</v>
      </c>
      <c r="C420" s="285"/>
      <c r="D420" s="22">
        <f t="shared" ref="D420:F421" si="98">D421</f>
        <v>61292.300000000061</v>
      </c>
      <c r="E420" s="22">
        <f t="shared" si="98"/>
        <v>62987.199999999997</v>
      </c>
      <c r="F420" s="22">
        <f t="shared" si="98"/>
        <v>0</v>
      </c>
      <c r="G420" s="65"/>
    </row>
    <row r="421" spans="1:7" s="102" customFormat="1" x14ac:dyDescent="0.25">
      <c r="A421" s="255" t="s">
        <v>118</v>
      </c>
      <c r="B421" s="416" t="s">
        <v>636</v>
      </c>
      <c r="C421" s="285" t="s">
        <v>36</v>
      </c>
      <c r="D421" s="22">
        <f t="shared" si="98"/>
        <v>61292.300000000061</v>
      </c>
      <c r="E421" s="22">
        <f t="shared" si="98"/>
        <v>62987.199999999997</v>
      </c>
      <c r="F421" s="22">
        <f t="shared" si="98"/>
        <v>0</v>
      </c>
      <c r="G421" s="65"/>
    </row>
    <row r="422" spans="1:7" s="102" customFormat="1" x14ac:dyDescent="0.25">
      <c r="A422" s="255" t="s">
        <v>51</v>
      </c>
      <c r="B422" s="416" t="s">
        <v>636</v>
      </c>
      <c r="C422" s="285" t="s">
        <v>64</v>
      </c>
      <c r="D422" s="22">
        <f>'Функц. 2025-2027'!F454</f>
        <v>61292.300000000061</v>
      </c>
      <c r="E422" s="22">
        <f>'Функц. 2025-2027'!H454</f>
        <v>62987.199999999997</v>
      </c>
      <c r="F422" s="22">
        <f>'Функц. 2025-2027'!J454</f>
        <v>0</v>
      </c>
      <c r="G422" s="65"/>
    </row>
    <row r="423" spans="1:7" s="102" customFormat="1" ht="31.5" x14ac:dyDescent="0.25">
      <c r="A423" s="294" t="s">
        <v>833</v>
      </c>
      <c r="B423" s="359" t="s">
        <v>834</v>
      </c>
      <c r="C423" s="314"/>
      <c r="D423" s="22">
        <f t="shared" ref="D423:F424" si="99">D424</f>
        <v>479913.1</v>
      </c>
      <c r="E423" s="22">
        <f t="shared" si="99"/>
        <v>0</v>
      </c>
      <c r="F423" s="22">
        <f t="shared" si="99"/>
        <v>0</v>
      </c>
      <c r="G423" s="65"/>
    </row>
    <row r="424" spans="1:7" s="102" customFormat="1" x14ac:dyDescent="0.25">
      <c r="A424" s="294" t="s">
        <v>118</v>
      </c>
      <c r="B424" s="359" t="s">
        <v>834</v>
      </c>
      <c r="C424" s="314" t="s">
        <v>36</v>
      </c>
      <c r="D424" s="22">
        <f t="shared" si="99"/>
        <v>479913.1</v>
      </c>
      <c r="E424" s="22">
        <f t="shared" si="99"/>
        <v>0</v>
      </c>
      <c r="F424" s="22">
        <f t="shared" si="99"/>
        <v>0</v>
      </c>
      <c r="G424" s="65"/>
    </row>
    <row r="425" spans="1:7" s="102" customFormat="1" x14ac:dyDescent="0.25">
      <c r="A425" s="294" t="s">
        <v>51</v>
      </c>
      <c r="B425" s="359" t="s">
        <v>834</v>
      </c>
      <c r="C425" s="314" t="s">
        <v>64</v>
      </c>
      <c r="D425" s="22">
        <f>'Функц. 2025-2027'!F457</f>
        <v>479913.1</v>
      </c>
      <c r="E425" s="22">
        <f>'Функц. 2025-2027'!H457</f>
        <v>0</v>
      </c>
      <c r="F425" s="22">
        <f>'Функц. 2025-2027'!J457</f>
        <v>0</v>
      </c>
      <c r="G425" s="65"/>
    </row>
    <row r="426" spans="1:7" s="102" customFormat="1" ht="47.25" x14ac:dyDescent="0.25">
      <c r="A426" s="294" t="s">
        <v>881</v>
      </c>
      <c r="B426" s="348" t="s">
        <v>883</v>
      </c>
      <c r="C426" s="314"/>
      <c r="D426" s="22">
        <f>D427</f>
        <v>892</v>
      </c>
      <c r="E426" s="22">
        <f t="shared" ref="E426:F428" si="100">E427</f>
        <v>2500</v>
      </c>
      <c r="F426" s="22">
        <f t="shared" si="100"/>
        <v>0</v>
      </c>
      <c r="G426" s="65"/>
    </row>
    <row r="427" spans="1:7" s="102" customFormat="1" ht="31.5" x14ac:dyDescent="0.25">
      <c r="A427" s="294" t="s">
        <v>882</v>
      </c>
      <c r="B427" s="348" t="s">
        <v>884</v>
      </c>
      <c r="C427" s="314"/>
      <c r="D427" s="22">
        <f>D428</f>
        <v>892</v>
      </c>
      <c r="E427" s="22">
        <f t="shared" si="100"/>
        <v>2500</v>
      </c>
      <c r="F427" s="22">
        <f t="shared" si="100"/>
        <v>0</v>
      </c>
      <c r="G427" s="65"/>
    </row>
    <row r="428" spans="1:7" s="102" customFormat="1" x14ac:dyDescent="0.25">
      <c r="A428" s="294" t="s">
        <v>118</v>
      </c>
      <c r="B428" s="348" t="s">
        <v>884</v>
      </c>
      <c r="C428" s="314" t="s">
        <v>36</v>
      </c>
      <c r="D428" s="22">
        <f>D429</f>
        <v>892</v>
      </c>
      <c r="E428" s="22">
        <f t="shared" si="100"/>
        <v>2500</v>
      </c>
      <c r="F428" s="22">
        <f t="shared" si="100"/>
        <v>0</v>
      </c>
      <c r="G428" s="65"/>
    </row>
    <row r="429" spans="1:7" s="102" customFormat="1" x14ac:dyDescent="0.25">
      <c r="A429" s="294" t="s">
        <v>51</v>
      </c>
      <c r="B429" s="348" t="s">
        <v>884</v>
      </c>
      <c r="C429" s="314" t="s">
        <v>64</v>
      </c>
      <c r="D429" s="22">
        <f>'Функц. 2025-2027'!F461</f>
        <v>892</v>
      </c>
      <c r="E429" s="22">
        <f>'Функц. 2025-2027'!H461</f>
        <v>2500</v>
      </c>
      <c r="F429" s="22">
        <f>'Функц. 2025-2027'!J461</f>
        <v>0</v>
      </c>
      <c r="G429" s="65"/>
    </row>
    <row r="430" spans="1:7" s="102" customFormat="1" x14ac:dyDescent="0.25">
      <c r="A430" s="294" t="s">
        <v>654</v>
      </c>
      <c r="B430" s="409" t="s">
        <v>655</v>
      </c>
      <c r="C430" s="309"/>
      <c r="D430" s="22">
        <f>D431</f>
        <v>21773.8</v>
      </c>
      <c r="E430" s="22">
        <f>E431</f>
        <v>0</v>
      </c>
      <c r="F430" s="22">
        <f>F431</f>
        <v>0</v>
      </c>
      <c r="G430" s="65"/>
    </row>
    <row r="431" spans="1:7" s="102" customFormat="1" ht="31.5" x14ac:dyDescent="0.25">
      <c r="A431" s="294" t="s">
        <v>657</v>
      </c>
      <c r="B431" s="409" t="s">
        <v>656</v>
      </c>
      <c r="C431" s="309"/>
      <c r="D431" s="22">
        <f>D435+D432</f>
        <v>21773.8</v>
      </c>
      <c r="E431" s="22">
        <f>E435+E432</f>
        <v>0</v>
      </c>
      <c r="F431" s="22">
        <f>F435+F432</f>
        <v>0</v>
      </c>
      <c r="G431" s="65"/>
    </row>
    <row r="432" spans="1:7" s="102" customFormat="1" ht="31.5" x14ac:dyDescent="0.25">
      <c r="A432" s="294" t="s">
        <v>826</v>
      </c>
      <c r="B432" s="348" t="s">
        <v>827</v>
      </c>
      <c r="C432" s="314"/>
      <c r="D432" s="22">
        <f t="shared" ref="D432:F433" si="101">D433</f>
        <v>5273.8</v>
      </c>
      <c r="E432" s="22">
        <f t="shared" si="101"/>
        <v>0</v>
      </c>
      <c r="F432" s="22">
        <f t="shared" si="101"/>
        <v>0</v>
      </c>
      <c r="G432" s="65"/>
    </row>
    <row r="433" spans="1:30" s="102" customFormat="1" x14ac:dyDescent="0.25">
      <c r="A433" s="294" t="s">
        <v>118</v>
      </c>
      <c r="B433" s="348" t="s">
        <v>827</v>
      </c>
      <c r="C433" s="314" t="s">
        <v>36</v>
      </c>
      <c r="D433" s="22">
        <f t="shared" si="101"/>
        <v>5273.8</v>
      </c>
      <c r="E433" s="22">
        <f t="shared" si="101"/>
        <v>0</v>
      </c>
      <c r="F433" s="22">
        <f t="shared" si="101"/>
        <v>0</v>
      </c>
      <c r="G433" s="22">
        <f t="shared" ref="G433:AD433" si="102">G434</f>
        <v>0</v>
      </c>
      <c r="H433" s="22">
        <f t="shared" si="102"/>
        <v>0</v>
      </c>
      <c r="I433" s="22">
        <f t="shared" si="102"/>
        <v>0</v>
      </c>
      <c r="J433" s="22">
        <f t="shared" si="102"/>
        <v>0</v>
      </c>
      <c r="K433" s="22">
        <f t="shared" si="102"/>
        <v>0</v>
      </c>
      <c r="L433" s="22">
        <f t="shared" si="102"/>
        <v>0</v>
      </c>
      <c r="M433" s="22">
        <f t="shared" si="102"/>
        <v>0</v>
      </c>
      <c r="N433" s="22">
        <f t="shared" si="102"/>
        <v>0</v>
      </c>
      <c r="O433" s="22">
        <f t="shared" si="102"/>
        <v>0</v>
      </c>
      <c r="P433" s="22">
        <f t="shared" si="102"/>
        <v>0</v>
      </c>
      <c r="Q433" s="22">
        <f t="shared" si="102"/>
        <v>0</v>
      </c>
      <c r="R433" s="22">
        <f t="shared" si="102"/>
        <v>0</v>
      </c>
      <c r="S433" s="22">
        <f t="shared" si="102"/>
        <v>0</v>
      </c>
      <c r="T433" s="22">
        <f t="shared" si="102"/>
        <v>0</v>
      </c>
      <c r="U433" s="22">
        <f t="shared" si="102"/>
        <v>0</v>
      </c>
      <c r="V433" s="22">
        <f t="shared" si="102"/>
        <v>0</v>
      </c>
      <c r="W433" s="22">
        <f t="shared" si="102"/>
        <v>0</v>
      </c>
      <c r="X433" s="22">
        <f t="shared" si="102"/>
        <v>0</v>
      </c>
      <c r="Y433" s="22">
        <f t="shared" si="102"/>
        <v>0</v>
      </c>
      <c r="Z433" s="22">
        <f t="shared" si="102"/>
        <v>0</v>
      </c>
      <c r="AA433" s="22">
        <f t="shared" si="102"/>
        <v>0</v>
      </c>
      <c r="AB433" s="22">
        <f t="shared" si="102"/>
        <v>0</v>
      </c>
      <c r="AC433" s="22">
        <f t="shared" si="102"/>
        <v>0</v>
      </c>
      <c r="AD433" s="22">
        <f t="shared" si="102"/>
        <v>0</v>
      </c>
    </row>
    <row r="434" spans="1:30" s="102" customFormat="1" x14ac:dyDescent="0.25">
      <c r="A434" s="294" t="s">
        <v>51</v>
      </c>
      <c r="B434" s="348" t="s">
        <v>827</v>
      </c>
      <c r="C434" s="314" t="s">
        <v>64</v>
      </c>
      <c r="D434" s="22">
        <f>'Функц. 2025-2027'!F466</f>
        <v>5273.8</v>
      </c>
      <c r="E434" s="22">
        <f>'Функц. 2025-2027'!H466</f>
        <v>0</v>
      </c>
      <c r="F434" s="22">
        <f>'Функц. 2025-2027'!J466</f>
        <v>0</v>
      </c>
      <c r="G434" s="65"/>
    </row>
    <row r="435" spans="1:30" s="102" customFormat="1" x14ac:dyDescent="0.25">
      <c r="A435" s="294" t="s">
        <v>658</v>
      </c>
      <c r="B435" s="409" t="s">
        <v>659</v>
      </c>
      <c r="C435" s="309"/>
      <c r="D435" s="22">
        <f t="shared" ref="D435:F436" si="103">D436</f>
        <v>16500</v>
      </c>
      <c r="E435" s="22">
        <f t="shared" si="103"/>
        <v>0</v>
      </c>
      <c r="F435" s="22">
        <f t="shared" si="103"/>
        <v>0</v>
      </c>
      <c r="G435" s="22">
        <f t="shared" ref="G435:AD435" si="104">G436</f>
        <v>0</v>
      </c>
      <c r="H435" s="22">
        <f t="shared" si="104"/>
        <v>0</v>
      </c>
      <c r="I435" s="22">
        <f t="shared" si="104"/>
        <v>0</v>
      </c>
      <c r="J435" s="22">
        <f t="shared" si="104"/>
        <v>0</v>
      </c>
      <c r="K435" s="22">
        <f t="shared" si="104"/>
        <v>0</v>
      </c>
      <c r="L435" s="22">
        <f t="shared" si="104"/>
        <v>0</v>
      </c>
      <c r="M435" s="22">
        <f t="shared" si="104"/>
        <v>0</v>
      </c>
      <c r="N435" s="22">
        <f t="shared" si="104"/>
        <v>0</v>
      </c>
      <c r="O435" s="22">
        <f t="shared" si="104"/>
        <v>0</v>
      </c>
      <c r="P435" s="22">
        <f t="shared" si="104"/>
        <v>0</v>
      </c>
      <c r="Q435" s="22">
        <f t="shared" si="104"/>
        <v>0</v>
      </c>
      <c r="R435" s="22">
        <f t="shared" si="104"/>
        <v>0</v>
      </c>
      <c r="S435" s="22">
        <f t="shared" si="104"/>
        <v>0</v>
      </c>
      <c r="T435" s="22">
        <f t="shared" si="104"/>
        <v>0</v>
      </c>
      <c r="U435" s="22">
        <f t="shared" si="104"/>
        <v>0</v>
      </c>
      <c r="V435" s="22">
        <f t="shared" si="104"/>
        <v>0</v>
      </c>
      <c r="W435" s="22">
        <f t="shared" si="104"/>
        <v>0</v>
      </c>
      <c r="X435" s="22">
        <f t="shared" si="104"/>
        <v>0</v>
      </c>
      <c r="Y435" s="22">
        <f t="shared" si="104"/>
        <v>0</v>
      </c>
      <c r="Z435" s="22">
        <f t="shared" si="104"/>
        <v>0</v>
      </c>
      <c r="AA435" s="22">
        <f t="shared" si="104"/>
        <v>0</v>
      </c>
      <c r="AB435" s="22">
        <f t="shared" si="104"/>
        <v>0</v>
      </c>
      <c r="AC435" s="22">
        <f t="shared" si="104"/>
        <v>0</v>
      </c>
      <c r="AD435" s="22">
        <f t="shared" si="104"/>
        <v>0</v>
      </c>
    </row>
    <row r="436" spans="1:30" s="102" customFormat="1" x14ac:dyDescent="0.25">
      <c r="A436" s="255" t="s">
        <v>41</v>
      </c>
      <c r="B436" s="409" t="s">
        <v>659</v>
      </c>
      <c r="C436" s="285" t="s">
        <v>342</v>
      </c>
      <c r="D436" s="22">
        <f t="shared" si="103"/>
        <v>16500</v>
      </c>
      <c r="E436" s="22">
        <f t="shared" si="103"/>
        <v>0</v>
      </c>
      <c r="F436" s="22">
        <f t="shared" si="103"/>
        <v>0</v>
      </c>
      <c r="G436" s="65"/>
    </row>
    <row r="437" spans="1:30" s="102" customFormat="1" ht="31.5" x14ac:dyDescent="0.25">
      <c r="A437" s="255" t="s">
        <v>119</v>
      </c>
      <c r="B437" s="409" t="s">
        <v>659</v>
      </c>
      <c r="C437" s="285" t="s">
        <v>343</v>
      </c>
      <c r="D437" s="22">
        <f>'Функц. 2025-2027'!F469</f>
        <v>16500</v>
      </c>
      <c r="E437" s="22">
        <v>0</v>
      </c>
      <c r="F437" s="22">
        <v>0</v>
      </c>
      <c r="G437" s="65"/>
    </row>
    <row r="438" spans="1:30" s="102" customFormat="1" x14ac:dyDescent="0.25">
      <c r="A438" s="499" t="s">
        <v>866</v>
      </c>
      <c r="B438" s="500" t="s">
        <v>867</v>
      </c>
      <c r="C438" s="130"/>
      <c r="D438" s="24">
        <f>D439</f>
        <v>500</v>
      </c>
      <c r="E438" s="24">
        <f t="shared" ref="E438:F441" si="105">E439</f>
        <v>0</v>
      </c>
      <c r="F438" s="24">
        <f t="shared" si="105"/>
        <v>0</v>
      </c>
      <c r="G438" s="58"/>
    </row>
    <row r="439" spans="1:30" s="102" customFormat="1" x14ac:dyDescent="0.25">
      <c r="A439" s="330" t="s">
        <v>868</v>
      </c>
      <c r="B439" s="329" t="s">
        <v>869</v>
      </c>
      <c r="C439" s="331"/>
      <c r="D439" s="22">
        <f>D440</f>
        <v>500</v>
      </c>
      <c r="E439" s="22">
        <f t="shared" si="105"/>
        <v>0</v>
      </c>
      <c r="F439" s="22">
        <f t="shared" si="105"/>
        <v>0</v>
      </c>
      <c r="G439" s="65"/>
    </row>
    <row r="440" spans="1:30" s="102" customFormat="1" ht="31.5" x14ac:dyDescent="0.25">
      <c r="A440" s="330" t="s">
        <v>870</v>
      </c>
      <c r="B440" s="329" t="s">
        <v>871</v>
      </c>
      <c r="C440" s="331"/>
      <c r="D440" s="22">
        <f>D441</f>
        <v>500</v>
      </c>
      <c r="E440" s="22">
        <f t="shared" si="105"/>
        <v>0</v>
      </c>
      <c r="F440" s="22">
        <f t="shared" si="105"/>
        <v>0</v>
      </c>
      <c r="G440" s="65"/>
    </row>
    <row r="441" spans="1:30" s="102" customFormat="1" x14ac:dyDescent="0.25">
      <c r="A441" s="330" t="s">
        <v>872</v>
      </c>
      <c r="B441" s="329" t="s">
        <v>873</v>
      </c>
      <c r="C441" s="331"/>
      <c r="D441" s="22">
        <f>D442</f>
        <v>500</v>
      </c>
      <c r="E441" s="22">
        <f t="shared" si="105"/>
        <v>0</v>
      </c>
      <c r="F441" s="22">
        <f t="shared" si="105"/>
        <v>0</v>
      </c>
      <c r="G441" s="65"/>
    </row>
    <row r="442" spans="1:30" s="102" customFormat="1" x14ac:dyDescent="0.25">
      <c r="A442" s="330" t="s">
        <v>41</v>
      </c>
      <c r="B442" s="329" t="s">
        <v>873</v>
      </c>
      <c r="C442" s="331">
        <v>800</v>
      </c>
      <c r="D442" s="22">
        <f>D443</f>
        <v>500</v>
      </c>
      <c r="E442" s="22">
        <f>E443</f>
        <v>0</v>
      </c>
      <c r="F442" s="22">
        <f>F443</f>
        <v>0</v>
      </c>
      <c r="G442" s="65"/>
    </row>
    <row r="443" spans="1:30" s="102" customFormat="1" ht="31.5" x14ac:dyDescent="0.25">
      <c r="A443" s="330" t="s">
        <v>119</v>
      </c>
      <c r="B443" s="329" t="s">
        <v>873</v>
      </c>
      <c r="C443" s="331">
        <v>810</v>
      </c>
      <c r="D443" s="22">
        <f>'Функц. 2025-2027'!F395</f>
        <v>500</v>
      </c>
      <c r="E443" s="22">
        <f>'Функц. 2025-2027'!H395</f>
        <v>0</v>
      </c>
      <c r="F443" s="22">
        <f>'Функц. 2025-2027'!J395</f>
        <v>0</v>
      </c>
      <c r="G443" s="65"/>
    </row>
    <row r="444" spans="1:30" s="102" customFormat="1" x14ac:dyDescent="0.25">
      <c r="A444" s="262" t="s">
        <v>184</v>
      </c>
      <c r="B444" s="417" t="s">
        <v>110</v>
      </c>
      <c r="C444" s="396"/>
      <c r="D444" s="24">
        <f>D445+D481+D476</f>
        <v>528887.80000000005</v>
      </c>
      <c r="E444" s="24">
        <f>E445+E481+E476</f>
        <v>328725.90000000002</v>
      </c>
      <c r="F444" s="24">
        <f>F445+F481+F476</f>
        <v>325479.19999999995</v>
      </c>
      <c r="G444" s="65"/>
    </row>
    <row r="445" spans="1:30" x14ac:dyDescent="0.25">
      <c r="A445" s="199" t="s">
        <v>525</v>
      </c>
      <c r="B445" s="116" t="s">
        <v>111</v>
      </c>
      <c r="C445" s="284"/>
      <c r="D445" s="22">
        <f>D446+D459+D465</f>
        <v>80277</v>
      </c>
      <c r="E445" s="22">
        <f>E446+E459+E465</f>
        <v>49987.7</v>
      </c>
      <c r="F445" s="22">
        <f>F446+F459+F465</f>
        <v>35660.6</v>
      </c>
      <c r="G445" s="65"/>
    </row>
    <row r="446" spans="1:30" ht="31.5" x14ac:dyDescent="0.25">
      <c r="A446" s="200" t="s">
        <v>180</v>
      </c>
      <c r="B446" s="116" t="s">
        <v>181</v>
      </c>
      <c r="C446" s="284"/>
      <c r="D446" s="22">
        <f>D447+D456</f>
        <v>50245.2</v>
      </c>
      <c r="E446" s="22">
        <f>E447+E456</f>
        <v>22827.1</v>
      </c>
      <c r="F446" s="22">
        <f>F447+F456</f>
        <v>8500</v>
      </c>
      <c r="G446" s="65"/>
    </row>
    <row r="447" spans="1:30" ht="32.25" customHeight="1" x14ac:dyDescent="0.25">
      <c r="A447" s="200" t="s">
        <v>756</v>
      </c>
      <c r="B447" s="116" t="s">
        <v>183</v>
      </c>
      <c r="C447" s="271"/>
      <c r="D447" s="22">
        <f>D448+D450+D452+D454</f>
        <v>26741.5</v>
      </c>
      <c r="E447" s="22">
        <f>E448+E450+E452+E454</f>
        <v>14527.099999999999</v>
      </c>
      <c r="F447" s="22">
        <f>F448+F450+F452+F454</f>
        <v>200</v>
      </c>
      <c r="G447" s="22">
        <f t="shared" ref="G447:AD447" si="106">G448+G450+G452</f>
        <v>0</v>
      </c>
      <c r="H447" s="22">
        <f t="shared" si="106"/>
        <v>0</v>
      </c>
      <c r="I447" s="22">
        <f t="shared" si="106"/>
        <v>0</v>
      </c>
      <c r="J447" s="22">
        <f t="shared" si="106"/>
        <v>0</v>
      </c>
      <c r="K447" s="22">
        <f t="shared" si="106"/>
        <v>0</v>
      </c>
      <c r="L447" s="22">
        <f t="shared" si="106"/>
        <v>0</v>
      </c>
      <c r="M447" s="22">
        <f t="shared" si="106"/>
        <v>0</v>
      </c>
      <c r="N447" s="22">
        <f t="shared" si="106"/>
        <v>0</v>
      </c>
      <c r="O447" s="22">
        <f t="shared" si="106"/>
        <v>0</v>
      </c>
      <c r="P447" s="22">
        <f t="shared" si="106"/>
        <v>0</v>
      </c>
      <c r="Q447" s="22">
        <f t="shared" si="106"/>
        <v>0</v>
      </c>
      <c r="R447" s="22">
        <f t="shared" si="106"/>
        <v>0</v>
      </c>
      <c r="S447" s="22">
        <f t="shared" si="106"/>
        <v>0</v>
      </c>
      <c r="T447" s="22">
        <f t="shared" si="106"/>
        <v>0</v>
      </c>
      <c r="U447" s="22">
        <f t="shared" si="106"/>
        <v>0</v>
      </c>
      <c r="V447" s="22">
        <f t="shared" si="106"/>
        <v>0</v>
      </c>
      <c r="W447" s="22">
        <f t="shared" si="106"/>
        <v>0</v>
      </c>
      <c r="X447" s="22">
        <f t="shared" si="106"/>
        <v>0</v>
      </c>
      <c r="Y447" s="22">
        <f t="shared" si="106"/>
        <v>0</v>
      </c>
      <c r="Z447" s="22">
        <f t="shared" si="106"/>
        <v>0</v>
      </c>
      <c r="AA447" s="22">
        <f t="shared" si="106"/>
        <v>0</v>
      </c>
      <c r="AB447" s="22">
        <f t="shared" si="106"/>
        <v>0</v>
      </c>
      <c r="AC447" s="22">
        <f t="shared" si="106"/>
        <v>0</v>
      </c>
      <c r="AD447" s="22">
        <f t="shared" si="106"/>
        <v>0</v>
      </c>
    </row>
    <row r="448" spans="1:30" x14ac:dyDescent="0.25">
      <c r="A448" s="198" t="s">
        <v>118</v>
      </c>
      <c r="B448" s="116" t="s">
        <v>183</v>
      </c>
      <c r="C448" s="284">
        <v>200</v>
      </c>
      <c r="D448" s="22">
        <f>D449</f>
        <v>10610.6</v>
      </c>
      <c r="E448" s="22">
        <f>E449</f>
        <v>700</v>
      </c>
      <c r="F448" s="22">
        <f>F449</f>
        <v>200</v>
      </c>
      <c r="G448" s="65"/>
    </row>
    <row r="449" spans="1:7" x14ac:dyDescent="0.25">
      <c r="A449" s="198" t="s">
        <v>51</v>
      </c>
      <c r="B449" s="116" t="s">
        <v>183</v>
      </c>
      <c r="C449" s="284">
        <v>240</v>
      </c>
      <c r="D449" s="22">
        <f>'Функц. 2025-2027'!F138</f>
        <v>10610.6</v>
      </c>
      <c r="E449" s="22">
        <f>'Функц. 2025-2027'!H138</f>
        <v>700</v>
      </c>
      <c r="F449" s="22">
        <f>'Функц. 2025-2027'!J138</f>
        <v>200</v>
      </c>
      <c r="G449" s="65"/>
    </row>
    <row r="450" spans="1:7" x14ac:dyDescent="0.25">
      <c r="A450" s="198" t="s">
        <v>95</v>
      </c>
      <c r="B450" s="116" t="s">
        <v>183</v>
      </c>
      <c r="C450" s="284">
        <v>300</v>
      </c>
      <c r="D450" s="22">
        <f>D451</f>
        <v>1970.7999999999997</v>
      </c>
      <c r="E450" s="118">
        <f>E451</f>
        <v>2279.1999999999998</v>
      </c>
      <c r="F450" s="22">
        <f>F451</f>
        <v>0</v>
      </c>
      <c r="G450" s="65"/>
    </row>
    <row r="451" spans="1:7" x14ac:dyDescent="0.25">
      <c r="A451" s="255" t="s">
        <v>416</v>
      </c>
      <c r="B451" s="116" t="s">
        <v>183</v>
      </c>
      <c r="C451" s="284">
        <v>360</v>
      </c>
      <c r="D451" s="22">
        <f>'Функц. 2025-2027'!F140</f>
        <v>1970.7999999999997</v>
      </c>
      <c r="E451" s="22">
        <f>'Функц. 2025-2027'!H140</f>
        <v>2279.1999999999998</v>
      </c>
      <c r="F451" s="22">
        <f>'Функц. 2025-2027'!J140</f>
        <v>0</v>
      </c>
      <c r="G451" s="65"/>
    </row>
    <row r="452" spans="1:7" ht="31.5" x14ac:dyDescent="0.25">
      <c r="A452" s="252" t="s">
        <v>59</v>
      </c>
      <c r="B452" s="116" t="s">
        <v>183</v>
      </c>
      <c r="C452" s="284">
        <v>600</v>
      </c>
      <c r="D452" s="22">
        <f>D453</f>
        <v>11547.9</v>
      </c>
      <c r="E452" s="22">
        <f>E453</f>
        <v>11547.9</v>
      </c>
      <c r="F452" s="22">
        <f>F453</f>
        <v>0</v>
      </c>
      <c r="G452" s="65"/>
    </row>
    <row r="453" spans="1:7" x14ac:dyDescent="0.25">
      <c r="A453" s="252" t="s">
        <v>60</v>
      </c>
      <c r="B453" s="116" t="s">
        <v>183</v>
      </c>
      <c r="C453" s="284">
        <v>610</v>
      </c>
      <c r="D453" s="22">
        <f>'Функц. 2025-2027'!F142</f>
        <v>11547.9</v>
      </c>
      <c r="E453" s="22">
        <f>'Функц. 2025-2027'!H142</f>
        <v>11547.9</v>
      </c>
      <c r="F453" s="22">
        <f>'Функц. 2025-2027'!J142</f>
        <v>0</v>
      </c>
      <c r="G453" s="65"/>
    </row>
    <row r="454" spans="1:7" x14ac:dyDescent="0.25">
      <c r="A454" s="294" t="s">
        <v>41</v>
      </c>
      <c r="B454" s="116" t="s">
        <v>183</v>
      </c>
      <c r="C454" s="230">
        <v>800</v>
      </c>
      <c r="D454" s="22">
        <f>D455</f>
        <v>2612.1999999999998</v>
      </c>
      <c r="E454" s="22">
        <f>E455</f>
        <v>0</v>
      </c>
      <c r="F454" s="22">
        <f>F455</f>
        <v>0</v>
      </c>
      <c r="G454" s="65"/>
    </row>
    <row r="455" spans="1:7" x14ac:dyDescent="0.25">
      <c r="A455" s="294" t="s">
        <v>56</v>
      </c>
      <c r="B455" s="116" t="s">
        <v>183</v>
      </c>
      <c r="C455" s="230">
        <v>850</v>
      </c>
      <c r="D455" s="22">
        <f>'Функц. 2025-2027'!F144</f>
        <v>2612.1999999999998</v>
      </c>
      <c r="E455" s="22">
        <f>'Функц. 2025-2027'!H144</f>
        <v>0</v>
      </c>
      <c r="F455" s="22">
        <f>'Функц. 2025-2027'!J144</f>
        <v>0</v>
      </c>
      <c r="G455" s="65"/>
    </row>
    <row r="456" spans="1:7" x14ac:dyDescent="0.25">
      <c r="A456" s="184" t="s">
        <v>428</v>
      </c>
      <c r="B456" s="116" t="s">
        <v>381</v>
      </c>
      <c r="C456" s="284"/>
      <c r="D456" s="22">
        <f t="shared" ref="D456:F457" si="107">D457</f>
        <v>23503.7</v>
      </c>
      <c r="E456" s="22">
        <f t="shared" si="107"/>
        <v>8300</v>
      </c>
      <c r="F456" s="22">
        <f t="shared" si="107"/>
        <v>8300</v>
      </c>
      <c r="G456" s="65"/>
    </row>
    <row r="457" spans="1:7" x14ac:dyDescent="0.25">
      <c r="A457" s="198" t="s">
        <v>118</v>
      </c>
      <c r="B457" s="116" t="s">
        <v>381</v>
      </c>
      <c r="C457" s="403">
        <v>200</v>
      </c>
      <c r="D457" s="22">
        <f t="shared" si="107"/>
        <v>23503.7</v>
      </c>
      <c r="E457" s="22">
        <f t="shared" si="107"/>
        <v>8300</v>
      </c>
      <c r="F457" s="22">
        <f t="shared" si="107"/>
        <v>8300</v>
      </c>
      <c r="G457" s="65"/>
    </row>
    <row r="458" spans="1:7" x14ac:dyDescent="0.25">
      <c r="A458" s="198" t="s">
        <v>51</v>
      </c>
      <c r="B458" s="116" t="s">
        <v>381</v>
      </c>
      <c r="C458" s="403">
        <v>240</v>
      </c>
      <c r="D458" s="22">
        <f>'Функц. 2025-2027'!F403</f>
        <v>23503.7</v>
      </c>
      <c r="E458" s="22">
        <f>'Функц. 2025-2027'!H403</f>
        <v>8300</v>
      </c>
      <c r="F458" s="22">
        <f>'Функц. 2025-2027'!J403</f>
        <v>8300</v>
      </c>
      <c r="G458" s="65"/>
    </row>
    <row r="459" spans="1:7" ht="47.25" x14ac:dyDescent="0.25">
      <c r="A459" s="307" t="s">
        <v>704</v>
      </c>
      <c r="B459" s="116" t="s">
        <v>185</v>
      </c>
      <c r="C459" s="404"/>
      <c r="D459" s="22">
        <f>D460</f>
        <v>1643</v>
      </c>
      <c r="E459" s="22">
        <f>E460</f>
        <v>1643.0000000000002</v>
      </c>
      <c r="F459" s="22">
        <f>F460</f>
        <v>1643.0000000000002</v>
      </c>
      <c r="G459" s="65"/>
    </row>
    <row r="460" spans="1:7" ht="47.25" x14ac:dyDescent="0.25">
      <c r="A460" s="200" t="s">
        <v>600</v>
      </c>
      <c r="B460" s="116" t="s">
        <v>599</v>
      </c>
      <c r="C460" s="404"/>
      <c r="D460" s="22">
        <f>D462+D463</f>
        <v>1643</v>
      </c>
      <c r="E460" s="22">
        <f>E462+E463</f>
        <v>1643.0000000000002</v>
      </c>
      <c r="F460" s="22">
        <f>F462+F463</f>
        <v>1643.0000000000002</v>
      </c>
      <c r="G460" s="65"/>
    </row>
    <row r="461" spans="1:7" ht="47.25" x14ac:dyDescent="0.25">
      <c r="A461" s="198" t="s">
        <v>40</v>
      </c>
      <c r="B461" s="116" t="s">
        <v>599</v>
      </c>
      <c r="C461" s="404">
        <v>100</v>
      </c>
      <c r="D461" s="22">
        <f>D462</f>
        <v>1539.9</v>
      </c>
      <c r="E461" s="22">
        <f>E462</f>
        <v>1627.3000000000002</v>
      </c>
      <c r="F461" s="22">
        <f>F462</f>
        <v>1627.3000000000002</v>
      </c>
      <c r="G461" s="65"/>
    </row>
    <row r="462" spans="1:7" x14ac:dyDescent="0.25">
      <c r="A462" s="259" t="s">
        <v>94</v>
      </c>
      <c r="B462" s="116" t="s">
        <v>599</v>
      </c>
      <c r="C462" s="404">
        <v>120</v>
      </c>
      <c r="D462" s="22">
        <f>'Функц. 2025-2027'!F148</f>
        <v>1539.9</v>
      </c>
      <c r="E462" s="22">
        <f>'Функц. 2025-2027'!H148</f>
        <v>1627.3000000000002</v>
      </c>
      <c r="F462" s="22">
        <f>'Функц. 2025-2027'!J148</f>
        <v>1627.3000000000002</v>
      </c>
      <c r="G462" s="65"/>
    </row>
    <row r="463" spans="1:7" x14ac:dyDescent="0.25">
      <c r="A463" s="259" t="s">
        <v>118</v>
      </c>
      <c r="B463" s="116" t="s">
        <v>599</v>
      </c>
      <c r="C463" s="404">
        <v>200</v>
      </c>
      <c r="D463" s="22">
        <f>D464</f>
        <v>103.10000000000001</v>
      </c>
      <c r="E463" s="22">
        <f>E464</f>
        <v>15.7</v>
      </c>
      <c r="F463" s="22">
        <f>F464</f>
        <v>15.7</v>
      </c>
      <c r="G463" s="65"/>
    </row>
    <row r="464" spans="1:7" x14ac:dyDescent="0.25">
      <c r="A464" s="259" t="s">
        <v>51</v>
      </c>
      <c r="B464" s="116" t="s">
        <v>599</v>
      </c>
      <c r="C464" s="404">
        <v>240</v>
      </c>
      <c r="D464" s="22">
        <f>'Функц. 2025-2027'!F150</f>
        <v>103.10000000000001</v>
      </c>
      <c r="E464" s="22">
        <f>'Функц. 2025-2027'!H150</f>
        <v>15.7</v>
      </c>
      <c r="F464" s="22">
        <f>'Функц. 2025-2027'!J150</f>
        <v>15.7</v>
      </c>
      <c r="G464" s="65"/>
    </row>
    <row r="465" spans="1:7" ht="31.5" x14ac:dyDescent="0.25">
      <c r="A465" s="199" t="s">
        <v>323</v>
      </c>
      <c r="B465" s="116" t="s">
        <v>454</v>
      </c>
      <c r="C465" s="404"/>
      <c r="D465" s="22">
        <f>D466</f>
        <v>28388.800000000003</v>
      </c>
      <c r="E465" s="22">
        <f>E466</f>
        <v>25517.599999999999</v>
      </c>
      <c r="F465" s="22">
        <f>F466</f>
        <v>25517.599999999999</v>
      </c>
      <c r="G465" s="65"/>
    </row>
    <row r="466" spans="1:7" x14ac:dyDescent="0.25">
      <c r="A466" s="199" t="s">
        <v>203</v>
      </c>
      <c r="B466" s="116" t="s">
        <v>455</v>
      </c>
      <c r="C466" s="284"/>
      <c r="D466" s="22">
        <f>D467+D470+D473</f>
        <v>28388.800000000003</v>
      </c>
      <c r="E466" s="22">
        <f>E467+E470+E473</f>
        <v>25517.599999999999</v>
      </c>
      <c r="F466" s="22">
        <f>F467+F470+F473</f>
        <v>25517.599999999999</v>
      </c>
      <c r="G466" s="65"/>
    </row>
    <row r="467" spans="1:7" ht="31.5" x14ac:dyDescent="0.25">
      <c r="A467" s="199" t="s">
        <v>204</v>
      </c>
      <c r="B467" s="116" t="s">
        <v>456</v>
      </c>
      <c r="C467" s="284"/>
      <c r="D467" s="22">
        <f t="shared" ref="D467:F468" si="108">D468</f>
        <v>3600.2000000000003</v>
      </c>
      <c r="E467" s="22">
        <f t="shared" si="108"/>
        <v>1785.8</v>
      </c>
      <c r="F467" s="22">
        <f t="shared" si="108"/>
        <v>1785.8</v>
      </c>
      <c r="G467" s="65"/>
    </row>
    <row r="468" spans="1:7" x14ac:dyDescent="0.25">
      <c r="A468" s="198" t="s">
        <v>118</v>
      </c>
      <c r="B468" s="116" t="s">
        <v>456</v>
      </c>
      <c r="C468" s="284">
        <v>200</v>
      </c>
      <c r="D468" s="22">
        <f t="shared" si="108"/>
        <v>3600.2000000000003</v>
      </c>
      <c r="E468" s="22">
        <f t="shared" si="108"/>
        <v>1785.8</v>
      </c>
      <c r="F468" s="22">
        <f t="shared" si="108"/>
        <v>1785.8</v>
      </c>
      <c r="G468" s="65"/>
    </row>
    <row r="469" spans="1:7" x14ac:dyDescent="0.25">
      <c r="A469" s="198" t="s">
        <v>51</v>
      </c>
      <c r="B469" s="116" t="s">
        <v>456</v>
      </c>
      <c r="C469" s="284">
        <v>240</v>
      </c>
      <c r="D469" s="22">
        <f>'Функц. 2025-2027'!F155</f>
        <v>3600.2000000000003</v>
      </c>
      <c r="E469" s="22">
        <f>'Функц. 2025-2027'!H155</f>
        <v>1785.8</v>
      </c>
      <c r="F469" s="22">
        <f>'Функц. 2025-2027'!J155</f>
        <v>1785.8</v>
      </c>
      <c r="G469" s="65"/>
    </row>
    <row r="470" spans="1:7" ht="31.5" x14ac:dyDescent="0.25">
      <c r="A470" s="198" t="s">
        <v>205</v>
      </c>
      <c r="B470" s="21" t="str">
        <f>B471</f>
        <v>12 1 04 00132</v>
      </c>
      <c r="C470" s="284"/>
      <c r="D470" s="22">
        <f t="shared" ref="D470:F471" si="109">D471</f>
        <v>8272.9</v>
      </c>
      <c r="E470" s="22">
        <f t="shared" si="109"/>
        <v>8211.2999999999993</v>
      </c>
      <c r="F470" s="22">
        <f t="shared" si="109"/>
        <v>8211.2999999999993</v>
      </c>
      <c r="G470" s="65"/>
    </row>
    <row r="471" spans="1:7" ht="47.25" x14ac:dyDescent="0.25">
      <c r="A471" s="198" t="s">
        <v>40</v>
      </c>
      <c r="B471" s="21" t="str">
        <f>B472</f>
        <v>12 1 04 00132</v>
      </c>
      <c r="C471" s="284">
        <v>100</v>
      </c>
      <c r="D471" s="22">
        <f t="shared" si="109"/>
        <v>8272.9</v>
      </c>
      <c r="E471" s="22">
        <f t="shared" si="109"/>
        <v>8211.2999999999993</v>
      </c>
      <c r="F471" s="22">
        <f t="shared" si="109"/>
        <v>8211.2999999999993</v>
      </c>
      <c r="G471" s="65"/>
    </row>
    <row r="472" spans="1:7" x14ac:dyDescent="0.25">
      <c r="A472" s="198" t="s">
        <v>94</v>
      </c>
      <c r="B472" s="116" t="s">
        <v>457</v>
      </c>
      <c r="C472" s="284">
        <v>120</v>
      </c>
      <c r="D472" s="22">
        <f>'Функц. 2025-2027'!F158</f>
        <v>8272.9</v>
      </c>
      <c r="E472" s="22">
        <f>'Функц. 2025-2027'!H158</f>
        <v>8211.2999999999993</v>
      </c>
      <c r="F472" s="22">
        <f>'Функц. 2025-2027'!J158</f>
        <v>8211.2999999999993</v>
      </c>
      <c r="G472" s="65"/>
    </row>
    <row r="473" spans="1:7" ht="31.5" x14ac:dyDescent="0.25">
      <c r="A473" s="198" t="s">
        <v>206</v>
      </c>
      <c r="B473" s="21" t="str">
        <f>B474</f>
        <v>12 1 04 00133</v>
      </c>
      <c r="C473" s="284"/>
      <c r="D473" s="22">
        <f t="shared" ref="D473:F474" si="110">D474</f>
        <v>16515.7</v>
      </c>
      <c r="E473" s="22">
        <f t="shared" si="110"/>
        <v>15520.5</v>
      </c>
      <c r="F473" s="22">
        <f t="shared" si="110"/>
        <v>15520.5</v>
      </c>
      <c r="G473" s="65"/>
    </row>
    <row r="474" spans="1:7" ht="47.25" x14ac:dyDescent="0.25">
      <c r="A474" s="198" t="s">
        <v>40</v>
      </c>
      <c r="B474" s="21" t="str">
        <f>B475</f>
        <v>12 1 04 00133</v>
      </c>
      <c r="C474" s="284">
        <v>100</v>
      </c>
      <c r="D474" s="22">
        <f t="shared" si="110"/>
        <v>16515.7</v>
      </c>
      <c r="E474" s="22">
        <f t="shared" si="110"/>
        <v>15520.5</v>
      </c>
      <c r="F474" s="22">
        <f t="shared" si="110"/>
        <v>15520.5</v>
      </c>
      <c r="G474" s="65"/>
    </row>
    <row r="475" spans="1:7" x14ac:dyDescent="0.25">
      <c r="A475" s="198" t="s">
        <v>94</v>
      </c>
      <c r="B475" s="116" t="s">
        <v>458</v>
      </c>
      <c r="C475" s="284">
        <v>120</v>
      </c>
      <c r="D475" s="22">
        <f>'Функц. 2025-2027'!F161</f>
        <v>16515.7</v>
      </c>
      <c r="E475" s="22">
        <f>'Функц. 2025-2027'!H161</f>
        <v>15520.5</v>
      </c>
      <c r="F475" s="22">
        <f>'Функц. 2025-2027'!J161</f>
        <v>15520.5</v>
      </c>
      <c r="G475" s="65"/>
    </row>
    <row r="476" spans="1:7" x14ac:dyDescent="0.25">
      <c r="A476" s="199" t="s">
        <v>526</v>
      </c>
      <c r="B476" s="116" t="s">
        <v>400</v>
      </c>
      <c r="C476" s="284"/>
      <c r="D476" s="22">
        <f t="shared" ref="D476:F479" si="111">D477</f>
        <v>307</v>
      </c>
      <c r="E476" s="22">
        <f t="shared" si="111"/>
        <v>40146.5</v>
      </c>
      <c r="F476" s="22">
        <f t="shared" si="111"/>
        <v>53573.599999999999</v>
      </c>
      <c r="G476" s="65"/>
    </row>
    <row r="477" spans="1:7" ht="31.5" x14ac:dyDescent="0.25">
      <c r="A477" s="200" t="s">
        <v>527</v>
      </c>
      <c r="B477" s="116" t="s">
        <v>402</v>
      </c>
      <c r="C477" s="284"/>
      <c r="D477" s="22">
        <f t="shared" si="111"/>
        <v>307</v>
      </c>
      <c r="E477" s="22">
        <f t="shared" si="111"/>
        <v>40146.5</v>
      </c>
      <c r="F477" s="22">
        <f t="shared" si="111"/>
        <v>53573.599999999999</v>
      </c>
      <c r="G477" s="65"/>
    </row>
    <row r="478" spans="1:7" x14ac:dyDescent="0.25">
      <c r="A478" s="199" t="s">
        <v>186</v>
      </c>
      <c r="B478" s="116" t="s">
        <v>528</v>
      </c>
      <c r="C478" s="284"/>
      <c r="D478" s="22">
        <f t="shared" si="111"/>
        <v>307</v>
      </c>
      <c r="E478" s="22">
        <f t="shared" si="111"/>
        <v>40146.5</v>
      </c>
      <c r="F478" s="22">
        <f t="shared" si="111"/>
        <v>53573.599999999999</v>
      </c>
      <c r="G478" s="65"/>
    </row>
    <row r="479" spans="1:7" x14ac:dyDescent="0.25">
      <c r="A479" s="198" t="s">
        <v>66</v>
      </c>
      <c r="B479" s="116" t="s">
        <v>528</v>
      </c>
      <c r="C479" s="284">
        <v>700</v>
      </c>
      <c r="D479" s="22">
        <f t="shared" si="111"/>
        <v>307</v>
      </c>
      <c r="E479" s="22">
        <f t="shared" si="111"/>
        <v>40146.5</v>
      </c>
      <c r="F479" s="22">
        <f t="shared" si="111"/>
        <v>53573.599999999999</v>
      </c>
      <c r="G479" s="65"/>
    </row>
    <row r="480" spans="1:7" x14ac:dyDescent="0.25">
      <c r="A480" s="265" t="s">
        <v>350</v>
      </c>
      <c r="B480" s="116" t="s">
        <v>528</v>
      </c>
      <c r="C480" s="284">
        <v>730</v>
      </c>
      <c r="D480" s="22">
        <f>'Функц. 2025-2027'!F986</f>
        <v>307</v>
      </c>
      <c r="E480" s="22">
        <f>'Функц. 2025-2027'!H986</f>
        <v>40146.5</v>
      </c>
      <c r="F480" s="22">
        <f>'Функц. 2025-2027'!J986</f>
        <v>53573.599999999999</v>
      </c>
      <c r="G480" s="65"/>
    </row>
    <row r="481" spans="1:30" x14ac:dyDescent="0.25">
      <c r="A481" s="199" t="s">
        <v>187</v>
      </c>
      <c r="B481" s="116" t="s">
        <v>188</v>
      </c>
      <c r="C481" s="271"/>
      <c r="D481" s="22">
        <f>D482+D552</f>
        <v>448303.8</v>
      </c>
      <c r="E481" s="22">
        <f>E482+E552</f>
        <v>238591.7</v>
      </c>
      <c r="F481" s="22">
        <f>F482+F552</f>
        <v>236245</v>
      </c>
      <c r="G481" s="65"/>
    </row>
    <row r="482" spans="1:30" ht="31.5" x14ac:dyDescent="0.25">
      <c r="A482" s="199" t="s">
        <v>189</v>
      </c>
      <c r="B482" s="116" t="s">
        <v>190</v>
      </c>
      <c r="C482" s="271"/>
      <c r="D482" s="22">
        <f>D483+D486+D510+D516+D529+D536+D500+D519+D513+D526</f>
        <v>447176.2</v>
      </c>
      <c r="E482" s="22">
        <f t="shared" ref="E482:F482" si="112">E483+E486+E510+E516+E529+E536+E500+E519+E513+E526</f>
        <v>237761.6</v>
      </c>
      <c r="F482" s="22">
        <f t="shared" si="112"/>
        <v>235261.6</v>
      </c>
      <c r="G482" s="65"/>
    </row>
    <row r="483" spans="1:30" x14ac:dyDescent="0.25">
      <c r="A483" s="199" t="s">
        <v>191</v>
      </c>
      <c r="B483" s="116" t="s">
        <v>192</v>
      </c>
      <c r="C483" s="271"/>
      <c r="D483" s="22">
        <f t="shared" ref="D483:F484" si="113">D484</f>
        <v>12052.8</v>
      </c>
      <c r="E483" s="22">
        <f t="shared" si="113"/>
        <v>3451.3</v>
      </c>
      <c r="F483" s="22">
        <f t="shared" si="113"/>
        <v>3451.3</v>
      </c>
      <c r="G483" s="65"/>
    </row>
    <row r="484" spans="1:30" ht="47.25" x14ac:dyDescent="0.25">
      <c r="A484" s="198" t="s">
        <v>40</v>
      </c>
      <c r="B484" s="116" t="s">
        <v>192</v>
      </c>
      <c r="C484" s="271">
        <v>100</v>
      </c>
      <c r="D484" s="22">
        <f t="shared" si="113"/>
        <v>12052.8</v>
      </c>
      <c r="E484" s="22">
        <f t="shared" si="113"/>
        <v>3451.3</v>
      </c>
      <c r="F484" s="22">
        <f t="shared" si="113"/>
        <v>3451.3</v>
      </c>
      <c r="G484" s="65"/>
    </row>
    <row r="485" spans="1:30" x14ac:dyDescent="0.25">
      <c r="A485" s="198" t="s">
        <v>94</v>
      </c>
      <c r="B485" s="116" t="s">
        <v>192</v>
      </c>
      <c r="C485" s="271">
        <v>120</v>
      </c>
      <c r="D485" s="22">
        <f>'Функц. 2025-2027'!F22</f>
        <v>12052.8</v>
      </c>
      <c r="E485" s="22">
        <f>'Функц. 2025-2027'!H22</f>
        <v>3451.3</v>
      </c>
      <c r="F485" s="22">
        <f>'Функц. 2025-2027'!J22</f>
        <v>3451.3</v>
      </c>
      <c r="G485" s="65"/>
    </row>
    <row r="486" spans="1:30" x14ac:dyDescent="0.25">
      <c r="A486" s="199" t="s">
        <v>193</v>
      </c>
      <c r="B486" s="116" t="s">
        <v>194</v>
      </c>
      <c r="C486" s="284"/>
      <c r="D486" s="22">
        <f>D487+D494+D497</f>
        <v>112400.2</v>
      </c>
      <c r="E486" s="22">
        <f>E487+E494+E497</f>
        <v>94783</v>
      </c>
      <c r="F486" s="22">
        <f>F487+F494+F497</f>
        <v>92283</v>
      </c>
      <c r="G486" s="65"/>
    </row>
    <row r="487" spans="1:30" ht="31.5" x14ac:dyDescent="0.25">
      <c r="A487" s="266" t="s">
        <v>195</v>
      </c>
      <c r="B487" s="116" t="s">
        <v>196</v>
      </c>
      <c r="C487" s="284"/>
      <c r="D487" s="22">
        <f>D490+D488+D492</f>
        <v>11341.099999999999</v>
      </c>
      <c r="E487" s="22">
        <f>E490+E488+E492</f>
        <v>11987.3</v>
      </c>
      <c r="F487" s="22">
        <f>F490+F488+F492</f>
        <v>9487.2999999999993</v>
      </c>
      <c r="G487" s="65"/>
    </row>
    <row r="488" spans="1:30" ht="47.25" x14ac:dyDescent="0.25">
      <c r="A488" s="198" t="s">
        <v>40</v>
      </c>
      <c r="B488" s="116" t="s">
        <v>196</v>
      </c>
      <c r="C488" s="271">
        <v>100</v>
      </c>
      <c r="D488" s="22">
        <f>D489</f>
        <v>50</v>
      </c>
      <c r="E488" s="22">
        <f>E489</f>
        <v>50</v>
      </c>
      <c r="F488" s="22">
        <f>F489</f>
        <v>50</v>
      </c>
      <c r="G488" s="65"/>
    </row>
    <row r="489" spans="1:30" x14ac:dyDescent="0.25">
      <c r="A489" s="198" t="s">
        <v>94</v>
      </c>
      <c r="B489" s="116" t="s">
        <v>196</v>
      </c>
      <c r="C489" s="271">
        <v>120</v>
      </c>
      <c r="D489" s="22">
        <f>'Функц. 2025-2027'!F62</f>
        <v>50</v>
      </c>
      <c r="E489" s="22">
        <f>'Функц. 2025-2027'!H62</f>
        <v>50</v>
      </c>
      <c r="F489" s="22">
        <f>'Функц. 2025-2027'!J62</f>
        <v>50</v>
      </c>
      <c r="G489" s="65"/>
    </row>
    <row r="490" spans="1:30" x14ac:dyDescent="0.25">
      <c r="A490" s="198" t="s">
        <v>118</v>
      </c>
      <c r="B490" s="116" t="s">
        <v>196</v>
      </c>
      <c r="C490" s="284">
        <v>200</v>
      </c>
      <c r="D490" s="22">
        <f>D491</f>
        <v>11290.899999999998</v>
      </c>
      <c r="E490" s="22">
        <f>E491</f>
        <v>11937.3</v>
      </c>
      <c r="F490" s="22">
        <f>F491</f>
        <v>9437.2999999999993</v>
      </c>
      <c r="G490" s="65"/>
    </row>
    <row r="491" spans="1:30" x14ac:dyDescent="0.25">
      <c r="A491" s="198" t="s">
        <v>51</v>
      </c>
      <c r="B491" s="116" t="s">
        <v>196</v>
      </c>
      <c r="C491" s="284">
        <v>240</v>
      </c>
      <c r="D491" s="22">
        <f>'Функц. 2025-2027'!F64+'Функц. 2025-2027'!F167</f>
        <v>11290.899999999998</v>
      </c>
      <c r="E491" s="22">
        <f>'Функц. 2025-2027'!H64+'Функц. 2025-2027'!H167</f>
        <v>11937.3</v>
      </c>
      <c r="F491" s="22">
        <f>'Функц. 2025-2027'!J64+'Функц. 2025-2027'!J167</f>
        <v>9437.2999999999993</v>
      </c>
      <c r="G491" s="65"/>
    </row>
    <row r="492" spans="1:30" x14ac:dyDescent="0.25">
      <c r="A492" s="294" t="s">
        <v>41</v>
      </c>
      <c r="B492" s="116" t="s">
        <v>196</v>
      </c>
      <c r="C492" s="284">
        <v>800</v>
      </c>
      <c r="D492" s="22">
        <f>D493</f>
        <v>0.2</v>
      </c>
      <c r="E492" s="22">
        <f t="shared" ref="E492:AD492" si="114">E493</f>
        <v>0</v>
      </c>
      <c r="F492" s="22">
        <f t="shared" si="114"/>
        <v>0</v>
      </c>
      <c r="G492" s="22">
        <f t="shared" si="114"/>
        <v>0</v>
      </c>
      <c r="H492" s="22">
        <f t="shared" si="114"/>
        <v>0</v>
      </c>
      <c r="I492" s="22">
        <f t="shared" si="114"/>
        <v>0</v>
      </c>
      <c r="J492" s="22">
        <f t="shared" si="114"/>
        <v>0</v>
      </c>
      <c r="K492" s="22">
        <f t="shared" si="114"/>
        <v>0</v>
      </c>
      <c r="L492" s="22">
        <f t="shared" si="114"/>
        <v>0</v>
      </c>
      <c r="M492" s="22">
        <f t="shared" si="114"/>
        <v>0</v>
      </c>
      <c r="N492" s="22">
        <f t="shared" si="114"/>
        <v>0</v>
      </c>
      <c r="O492" s="22">
        <f t="shared" si="114"/>
        <v>0</v>
      </c>
      <c r="P492" s="22">
        <f t="shared" si="114"/>
        <v>0</v>
      </c>
      <c r="Q492" s="22">
        <f t="shared" si="114"/>
        <v>0</v>
      </c>
      <c r="R492" s="22">
        <f t="shared" si="114"/>
        <v>0</v>
      </c>
      <c r="S492" s="22">
        <f t="shared" si="114"/>
        <v>0</v>
      </c>
      <c r="T492" s="22">
        <f t="shared" si="114"/>
        <v>0</v>
      </c>
      <c r="U492" s="22">
        <f t="shared" si="114"/>
        <v>0</v>
      </c>
      <c r="V492" s="22">
        <f t="shared" si="114"/>
        <v>0</v>
      </c>
      <c r="W492" s="22">
        <f t="shared" si="114"/>
        <v>0</v>
      </c>
      <c r="X492" s="22">
        <f t="shared" si="114"/>
        <v>0</v>
      </c>
      <c r="Y492" s="22">
        <f t="shared" si="114"/>
        <v>0</v>
      </c>
      <c r="Z492" s="22">
        <f t="shared" si="114"/>
        <v>0</v>
      </c>
      <c r="AA492" s="22">
        <f t="shared" si="114"/>
        <v>0</v>
      </c>
      <c r="AB492" s="22">
        <f t="shared" si="114"/>
        <v>0</v>
      </c>
      <c r="AC492" s="22">
        <f t="shared" si="114"/>
        <v>0</v>
      </c>
      <c r="AD492" s="22">
        <f t="shared" si="114"/>
        <v>0</v>
      </c>
    </row>
    <row r="493" spans="1:30" x14ac:dyDescent="0.25">
      <c r="A493" s="294" t="s">
        <v>56</v>
      </c>
      <c r="B493" s="116" t="s">
        <v>196</v>
      </c>
      <c r="C493" s="284">
        <v>850</v>
      </c>
      <c r="D493" s="22">
        <f>'Функц. 2025-2027'!F66</f>
        <v>0.2</v>
      </c>
      <c r="E493" s="22">
        <f>'Функц. 2025-2027'!H66</f>
        <v>0</v>
      </c>
      <c r="F493" s="22">
        <f>'Функц. 2025-2027'!J66</f>
        <v>0</v>
      </c>
      <c r="G493" s="65"/>
    </row>
    <row r="494" spans="1:30" ht="31.5" x14ac:dyDescent="0.25">
      <c r="A494" s="198" t="s">
        <v>197</v>
      </c>
      <c r="B494" s="116" t="s">
        <v>198</v>
      </c>
      <c r="C494" s="271"/>
      <c r="D494" s="22">
        <f t="shared" ref="D494:F495" si="115">D495</f>
        <v>28421.4</v>
      </c>
      <c r="E494" s="22">
        <f t="shared" si="115"/>
        <v>28421.4</v>
      </c>
      <c r="F494" s="22">
        <f t="shared" si="115"/>
        <v>28421.4</v>
      </c>
      <c r="G494" s="65"/>
    </row>
    <row r="495" spans="1:30" ht="47.25" x14ac:dyDescent="0.25">
      <c r="A495" s="198" t="s">
        <v>40</v>
      </c>
      <c r="B495" s="116" t="s">
        <v>198</v>
      </c>
      <c r="C495" s="271">
        <v>100</v>
      </c>
      <c r="D495" s="22">
        <f t="shared" si="115"/>
        <v>28421.4</v>
      </c>
      <c r="E495" s="22">
        <f t="shared" si="115"/>
        <v>28421.4</v>
      </c>
      <c r="F495" s="22">
        <f t="shared" si="115"/>
        <v>28421.4</v>
      </c>
      <c r="G495" s="65"/>
    </row>
    <row r="496" spans="1:30" x14ac:dyDescent="0.25">
      <c r="A496" s="198" t="s">
        <v>94</v>
      </c>
      <c r="B496" s="116" t="s">
        <v>198</v>
      </c>
      <c r="C496" s="284">
        <v>120</v>
      </c>
      <c r="D496" s="22">
        <f>'Функц. 2025-2027'!F69</f>
        <v>28421.4</v>
      </c>
      <c r="E496" s="22">
        <f>'Функц. 2025-2027'!H69</f>
        <v>28421.4</v>
      </c>
      <c r="F496" s="22">
        <f>'Функц. 2025-2027'!J69</f>
        <v>28421.4</v>
      </c>
      <c r="G496" s="65"/>
    </row>
    <row r="497" spans="1:7" ht="31.5" x14ac:dyDescent="0.25">
      <c r="A497" s="198" t="s">
        <v>199</v>
      </c>
      <c r="B497" s="116" t="s">
        <v>200</v>
      </c>
      <c r="C497" s="271"/>
      <c r="D497" s="22">
        <f t="shared" ref="D497:F498" si="116">D498</f>
        <v>72637.7</v>
      </c>
      <c r="E497" s="22">
        <f t="shared" si="116"/>
        <v>54374.3</v>
      </c>
      <c r="F497" s="22">
        <f t="shared" si="116"/>
        <v>54374.3</v>
      </c>
      <c r="G497" s="65"/>
    </row>
    <row r="498" spans="1:7" ht="47.25" x14ac:dyDescent="0.25">
      <c r="A498" s="198" t="s">
        <v>40</v>
      </c>
      <c r="B498" s="116" t="s">
        <v>200</v>
      </c>
      <c r="C498" s="271">
        <v>100</v>
      </c>
      <c r="D498" s="22">
        <f t="shared" si="116"/>
        <v>72637.7</v>
      </c>
      <c r="E498" s="22">
        <f t="shared" si="116"/>
        <v>54374.3</v>
      </c>
      <c r="F498" s="22">
        <f t="shared" si="116"/>
        <v>54374.3</v>
      </c>
      <c r="G498" s="65"/>
    </row>
    <row r="499" spans="1:7" x14ac:dyDescent="0.25">
      <c r="A499" s="198" t="s">
        <v>94</v>
      </c>
      <c r="B499" s="116" t="s">
        <v>200</v>
      </c>
      <c r="C499" s="284">
        <v>120</v>
      </c>
      <c r="D499" s="22">
        <f>'Функц. 2025-2027'!F72</f>
        <v>72637.7</v>
      </c>
      <c r="E499" s="22">
        <f>'Функц. 2025-2027'!H72</f>
        <v>54374.3</v>
      </c>
      <c r="F499" s="22">
        <f>'Функц. 2025-2027'!J72</f>
        <v>54374.3</v>
      </c>
      <c r="G499" s="65"/>
    </row>
    <row r="500" spans="1:7" x14ac:dyDescent="0.25">
      <c r="A500" s="200" t="s">
        <v>207</v>
      </c>
      <c r="B500" s="203" t="s">
        <v>208</v>
      </c>
      <c r="C500" s="284"/>
      <c r="D500" s="22">
        <f>D501+D504+D507</f>
        <v>32168.2</v>
      </c>
      <c r="E500" s="22">
        <f>E501+E504+E507</f>
        <v>31765.600000000002</v>
      </c>
      <c r="F500" s="22">
        <f>F501+F504+F507</f>
        <v>31765.600000000002</v>
      </c>
      <c r="G500" s="65"/>
    </row>
    <row r="501" spans="1:7" ht="31.5" x14ac:dyDescent="0.25">
      <c r="A501" s="198" t="s">
        <v>209</v>
      </c>
      <c r="B501" s="203" t="s">
        <v>210</v>
      </c>
      <c r="C501" s="284"/>
      <c r="D501" s="22">
        <f t="shared" ref="D501:F502" si="117">D502</f>
        <v>3669.3</v>
      </c>
      <c r="E501" s="22">
        <f t="shared" si="117"/>
        <v>3657.8</v>
      </c>
      <c r="F501" s="22">
        <f t="shared" si="117"/>
        <v>3657.8</v>
      </c>
      <c r="G501" s="65"/>
    </row>
    <row r="502" spans="1:7" x14ac:dyDescent="0.25">
      <c r="A502" s="198" t="s">
        <v>118</v>
      </c>
      <c r="B502" s="203" t="s">
        <v>210</v>
      </c>
      <c r="C502" s="284">
        <v>200</v>
      </c>
      <c r="D502" s="22">
        <f t="shared" si="117"/>
        <v>3669.3</v>
      </c>
      <c r="E502" s="22">
        <f t="shared" si="117"/>
        <v>3657.8</v>
      </c>
      <c r="F502" s="22">
        <f t="shared" si="117"/>
        <v>3657.8</v>
      </c>
      <c r="G502" s="65"/>
    </row>
    <row r="503" spans="1:7" x14ac:dyDescent="0.25">
      <c r="A503" s="198" t="s">
        <v>51</v>
      </c>
      <c r="B503" s="203" t="s">
        <v>210</v>
      </c>
      <c r="C503" s="284">
        <v>240</v>
      </c>
      <c r="D503" s="22">
        <f>'Функц. 2025-2027'!F97</f>
        <v>3669.3</v>
      </c>
      <c r="E503" s="22">
        <f>'Функц. 2025-2027'!H97</f>
        <v>3657.8</v>
      </c>
      <c r="F503" s="22">
        <f>'Функц. 2025-2027'!J97</f>
        <v>3657.8</v>
      </c>
      <c r="G503" s="65"/>
    </row>
    <row r="504" spans="1:7" ht="31.5" x14ac:dyDescent="0.25">
      <c r="A504" s="198" t="s">
        <v>214</v>
      </c>
      <c r="B504" s="21" t="str">
        <f>B505</f>
        <v>12 5 01 00162</v>
      </c>
      <c r="C504" s="284"/>
      <c r="D504" s="22">
        <f t="shared" ref="D504:F505" si="118">D505</f>
        <v>15536.1</v>
      </c>
      <c r="E504" s="22">
        <f t="shared" si="118"/>
        <v>15536.1</v>
      </c>
      <c r="F504" s="22">
        <f t="shared" si="118"/>
        <v>15536.1</v>
      </c>
      <c r="G504" s="65"/>
    </row>
    <row r="505" spans="1:7" ht="47.25" x14ac:dyDescent="0.25">
      <c r="A505" s="198" t="s">
        <v>40</v>
      </c>
      <c r="B505" s="21" t="str">
        <f>B506</f>
        <v>12 5 01 00162</v>
      </c>
      <c r="C505" s="284">
        <v>100</v>
      </c>
      <c r="D505" s="22">
        <f t="shared" si="118"/>
        <v>15536.1</v>
      </c>
      <c r="E505" s="22">
        <f t="shared" si="118"/>
        <v>15536.1</v>
      </c>
      <c r="F505" s="22">
        <f t="shared" si="118"/>
        <v>15536.1</v>
      </c>
      <c r="G505" s="65"/>
    </row>
    <row r="506" spans="1:7" x14ac:dyDescent="0.25">
      <c r="A506" s="198" t="s">
        <v>94</v>
      </c>
      <c r="B506" s="203" t="s">
        <v>211</v>
      </c>
      <c r="C506" s="284">
        <v>120</v>
      </c>
      <c r="D506" s="22">
        <f>'Функц. 2025-2027'!F100</f>
        <v>15536.1</v>
      </c>
      <c r="E506" s="22">
        <f>'Функц. 2025-2027'!H100</f>
        <v>15536.1</v>
      </c>
      <c r="F506" s="22">
        <f>'Функц. 2025-2027'!J100</f>
        <v>15536.1</v>
      </c>
      <c r="G506" s="65"/>
    </row>
    <row r="507" spans="1:7" ht="31.5" x14ac:dyDescent="0.25">
      <c r="A507" s="198" t="s">
        <v>213</v>
      </c>
      <c r="B507" s="21" t="str">
        <f>B508</f>
        <v>12 5 01 00163</v>
      </c>
      <c r="C507" s="284"/>
      <c r="D507" s="22">
        <f t="shared" ref="D507:F508" si="119">D508</f>
        <v>12962.8</v>
      </c>
      <c r="E507" s="22">
        <f t="shared" si="119"/>
        <v>12571.7</v>
      </c>
      <c r="F507" s="22">
        <f t="shared" si="119"/>
        <v>12571.7</v>
      </c>
      <c r="G507" s="65"/>
    </row>
    <row r="508" spans="1:7" ht="47.25" x14ac:dyDescent="0.25">
      <c r="A508" s="198" t="s">
        <v>40</v>
      </c>
      <c r="B508" s="21" t="str">
        <f>B509</f>
        <v>12 5 01 00163</v>
      </c>
      <c r="C508" s="284">
        <v>100</v>
      </c>
      <c r="D508" s="22">
        <f t="shared" si="119"/>
        <v>12962.8</v>
      </c>
      <c r="E508" s="22">
        <f t="shared" si="119"/>
        <v>12571.7</v>
      </c>
      <c r="F508" s="22">
        <f t="shared" si="119"/>
        <v>12571.7</v>
      </c>
      <c r="G508" s="65"/>
    </row>
    <row r="509" spans="1:7" x14ac:dyDescent="0.25">
      <c r="A509" s="198" t="s">
        <v>94</v>
      </c>
      <c r="B509" s="203" t="s">
        <v>212</v>
      </c>
      <c r="C509" s="284">
        <v>120</v>
      </c>
      <c r="D509" s="22">
        <f>'Функц. 2025-2027'!F103</f>
        <v>12962.8</v>
      </c>
      <c r="E509" s="22">
        <f>'Функц. 2025-2027'!H103</f>
        <v>12571.7</v>
      </c>
      <c r="F509" s="22">
        <f>'Функц. 2025-2027'!J103</f>
        <v>12571.7</v>
      </c>
      <c r="G509" s="65"/>
    </row>
    <row r="510" spans="1:7" x14ac:dyDescent="0.25">
      <c r="A510" s="200" t="s">
        <v>219</v>
      </c>
      <c r="B510" s="203" t="s">
        <v>220</v>
      </c>
      <c r="C510" s="392"/>
      <c r="D510" s="22">
        <f t="shared" ref="D510:F511" si="120">D511</f>
        <v>578.5</v>
      </c>
      <c r="E510" s="22">
        <f t="shared" si="120"/>
        <v>74</v>
      </c>
      <c r="F510" s="22">
        <f t="shared" si="120"/>
        <v>74</v>
      </c>
      <c r="G510" s="65"/>
    </row>
    <row r="511" spans="1:7" x14ac:dyDescent="0.25">
      <c r="A511" s="198" t="s">
        <v>118</v>
      </c>
      <c r="B511" s="203" t="s">
        <v>220</v>
      </c>
      <c r="C511" s="399">
        <v>200</v>
      </c>
      <c r="D511" s="22">
        <f t="shared" si="120"/>
        <v>578.5</v>
      </c>
      <c r="E511" s="22">
        <f t="shared" si="120"/>
        <v>74</v>
      </c>
      <c r="F511" s="22">
        <f t="shared" si="120"/>
        <v>74</v>
      </c>
      <c r="G511" s="65"/>
    </row>
    <row r="512" spans="1:7" x14ac:dyDescent="0.25">
      <c r="A512" s="198" t="s">
        <v>51</v>
      </c>
      <c r="B512" s="203" t="s">
        <v>220</v>
      </c>
      <c r="C512" s="399">
        <v>240</v>
      </c>
      <c r="D512" s="22">
        <f>'Функц. 2025-2027'!F242</f>
        <v>578.5</v>
      </c>
      <c r="E512" s="22">
        <f>'Функц. 2025-2027'!H242</f>
        <v>74</v>
      </c>
      <c r="F512" s="22">
        <f>'Функц. 2025-2027'!J242</f>
        <v>74</v>
      </c>
      <c r="G512" s="65"/>
    </row>
    <row r="513" spans="1:30" x14ac:dyDescent="0.25">
      <c r="A513" s="294" t="s">
        <v>802</v>
      </c>
      <c r="B513" s="348" t="s">
        <v>803</v>
      </c>
      <c r="C513" s="297"/>
      <c r="D513" s="22">
        <f t="shared" ref="D513:F514" si="121">D514</f>
        <v>106400</v>
      </c>
      <c r="E513" s="22">
        <f t="shared" si="121"/>
        <v>0</v>
      </c>
      <c r="F513" s="22">
        <f t="shared" si="121"/>
        <v>0</v>
      </c>
      <c r="G513" s="65"/>
    </row>
    <row r="514" spans="1:30" x14ac:dyDescent="0.25">
      <c r="A514" s="294" t="s">
        <v>41</v>
      </c>
      <c r="B514" s="348" t="s">
        <v>803</v>
      </c>
      <c r="C514" s="297">
        <v>800</v>
      </c>
      <c r="D514" s="22">
        <f t="shared" si="121"/>
        <v>106400</v>
      </c>
      <c r="E514" s="22">
        <f t="shared" si="121"/>
        <v>0</v>
      </c>
      <c r="F514" s="22">
        <f t="shared" si="121"/>
        <v>0</v>
      </c>
      <c r="G514" s="65"/>
    </row>
    <row r="515" spans="1:30" ht="31.5" x14ac:dyDescent="0.25">
      <c r="A515" s="294" t="s">
        <v>119</v>
      </c>
      <c r="B515" s="348" t="s">
        <v>803</v>
      </c>
      <c r="C515" s="297">
        <v>810</v>
      </c>
      <c r="D515" s="22">
        <f>'Функц. 2025-2027'!F475</f>
        <v>106400</v>
      </c>
      <c r="E515" s="22">
        <f>'Функц. 2025-2027'!H475</f>
        <v>0</v>
      </c>
      <c r="F515" s="22">
        <f>'Функц. 2025-2027'!J474</f>
        <v>0</v>
      </c>
      <c r="G515" s="65"/>
    </row>
    <row r="516" spans="1:30" x14ac:dyDescent="0.25">
      <c r="A516" s="200" t="s">
        <v>221</v>
      </c>
      <c r="B516" s="203" t="s">
        <v>222</v>
      </c>
      <c r="C516" s="284"/>
      <c r="D516" s="22">
        <f t="shared" ref="D516:F517" si="122">D517</f>
        <v>160</v>
      </c>
      <c r="E516" s="22">
        <f t="shared" si="122"/>
        <v>160</v>
      </c>
      <c r="F516" s="22">
        <f t="shared" si="122"/>
        <v>160</v>
      </c>
      <c r="G516" s="65"/>
    </row>
    <row r="517" spans="1:30" x14ac:dyDescent="0.25">
      <c r="A517" s="198" t="s">
        <v>41</v>
      </c>
      <c r="B517" s="203" t="s">
        <v>222</v>
      </c>
      <c r="C517" s="284">
        <v>800</v>
      </c>
      <c r="D517" s="22">
        <f t="shared" si="122"/>
        <v>160</v>
      </c>
      <c r="E517" s="22">
        <f t="shared" si="122"/>
        <v>160</v>
      </c>
      <c r="F517" s="22">
        <f t="shared" si="122"/>
        <v>160</v>
      </c>
      <c r="G517" s="65"/>
    </row>
    <row r="518" spans="1:30" x14ac:dyDescent="0.25">
      <c r="A518" s="198" t="s">
        <v>56</v>
      </c>
      <c r="B518" s="203" t="s">
        <v>222</v>
      </c>
      <c r="C518" s="284">
        <v>850</v>
      </c>
      <c r="D518" s="22">
        <f>'Функц. 2025-2027'!F170</f>
        <v>160</v>
      </c>
      <c r="E518" s="22">
        <f>'Функц. 2025-2027'!H170</f>
        <v>160</v>
      </c>
      <c r="F518" s="22">
        <f>'Функц. 2025-2027'!J170</f>
        <v>160</v>
      </c>
      <c r="G518" s="65"/>
    </row>
    <row r="519" spans="1:30" ht="31.5" x14ac:dyDescent="0.25">
      <c r="A519" s="184" t="s">
        <v>546</v>
      </c>
      <c r="B519" s="203" t="s">
        <v>545</v>
      </c>
      <c r="C519" s="284"/>
      <c r="D519" s="22">
        <f>D520+D522+D524</f>
        <v>17438.399999999998</v>
      </c>
      <c r="E519" s="22">
        <f>E520+E522+E524</f>
        <v>13813</v>
      </c>
      <c r="F519" s="22">
        <f>F520+F522+F524</f>
        <v>13813</v>
      </c>
      <c r="G519" s="65"/>
    </row>
    <row r="520" spans="1:30" ht="47.25" x14ac:dyDescent="0.25">
      <c r="A520" s="255" t="s">
        <v>40</v>
      </c>
      <c r="B520" s="203" t="s">
        <v>545</v>
      </c>
      <c r="C520" s="285" t="s">
        <v>125</v>
      </c>
      <c r="D520" s="22">
        <f>D521</f>
        <v>16527.099999999999</v>
      </c>
      <c r="E520" s="22">
        <f>E521</f>
        <v>12901.7</v>
      </c>
      <c r="F520" s="22">
        <f>F521</f>
        <v>12901.7</v>
      </c>
      <c r="G520" s="65"/>
    </row>
    <row r="521" spans="1:30" x14ac:dyDescent="0.25">
      <c r="A521" s="255" t="s">
        <v>67</v>
      </c>
      <c r="B521" s="203" t="s">
        <v>545</v>
      </c>
      <c r="C521" s="285" t="s">
        <v>126</v>
      </c>
      <c r="D521" s="22">
        <f>'Функц. 2025-2027'!F173</f>
        <v>16527.099999999999</v>
      </c>
      <c r="E521" s="22">
        <f>'Функц. 2025-2027'!H173</f>
        <v>12901.7</v>
      </c>
      <c r="F521" s="22">
        <f>'Функц. 2025-2027'!J173</f>
        <v>12901.7</v>
      </c>
      <c r="G521" s="65"/>
    </row>
    <row r="522" spans="1:30" x14ac:dyDescent="0.25">
      <c r="A522" s="255" t="s">
        <v>118</v>
      </c>
      <c r="B522" s="203" t="s">
        <v>545</v>
      </c>
      <c r="C522" s="285" t="s">
        <v>36</v>
      </c>
      <c r="D522" s="22">
        <f>D523</f>
        <v>829.3</v>
      </c>
      <c r="E522" s="22">
        <f>E523</f>
        <v>911.3</v>
      </c>
      <c r="F522" s="22">
        <f>F523</f>
        <v>911.3</v>
      </c>
      <c r="G522" s="65"/>
    </row>
    <row r="523" spans="1:30" x14ac:dyDescent="0.25">
      <c r="A523" s="255" t="s">
        <v>51</v>
      </c>
      <c r="B523" s="203" t="s">
        <v>545</v>
      </c>
      <c r="C523" s="285" t="s">
        <v>64</v>
      </c>
      <c r="D523" s="22">
        <f>'Функц. 2025-2027'!F175</f>
        <v>829.3</v>
      </c>
      <c r="E523" s="22">
        <f>'Функц. 2025-2027'!H175</f>
        <v>911.3</v>
      </c>
      <c r="F523" s="22">
        <f>'Функц. 2025-2027'!J175</f>
        <v>911.3</v>
      </c>
      <c r="G523" s="65"/>
    </row>
    <row r="524" spans="1:30" x14ac:dyDescent="0.25">
      <c r="A524" s="294" t="s">
        <v>41</v>
      </c>
      <c r="B524" s="203" t="s">
        <v>545</v>
      </c>
      <c r="C524" s="284">
        <v>800</v>
      </c>
      <c r="D524" s="22">
        <f>D525</f>
        <v>82</v>
      </c>
      <c r="E524" s="22">
        <f t="shared" ref="E524:AD524" si="123">E525</f>
        <v>0</v>
      </c>
      <c r="F524" s="22">
        <f t="shared" si="123"/>
        <v>0</v>
      </c>
      <c r="G524" s="22">
        <f t="shared" si="123"/>
        <v>0</v>
      </c>
      <c r="H524" s="22">
        <f t="shared" si="123"/>
        <v>0</v>
      </c>
      <c r="I524" s="22">
        <f t="shared" si="123"/>
        <v>0</v>
      </c>
      <c r="J524" s="22">
        <f t="shared" si="123"/>
        <v>0</v>
      </c>
      <c r="K524" s="22">
        <f t="shared" si="123"/>
        <v>0</v>
      </c>
      <c r="L524" s="22">
        <f t="shared" si="123"/>
        <v>0</v>
      </c>
      <c r="M524" s="22">
        <f t="shared" si="123"/>
        <v>0</v>
      </c>
      <c r="N524" s="22">
        <f t="shared" si="123"/>
        <v>0</v>
      </c>
      <c r="O524" s="22">
        <f t="shared" si="123"/>
        <v>0</v>
      </c>
      <c r="P524" s="22">
        <f t="shared" si="123"/>
        <v>0</v>
      </c>
      <c r="Q524" s="22">
        <f t="shared" si="123"/>
        <v>0</v>
      </c>
      <c r="R524" s="22">
        <f t="shared" si="123"/>
        <v>0</v>
      </c>
      <c r="S524" s="22">
        <f t="shared" si="123"/>
        <v>0</v>
      </c>
      <c r="T524" s="22">
        <f t="shared" si="123"/>
        <v>0</v>
      </c>
      <c r="U524" s="22">
        <f t="shared" si="123"/>
        <v>0</v>
      </c>
      <c r="V524" s="22">
        <f t="shared" si="123"/>
        <v>0</v>
      </c>
      <c r="W524" s="22">
        <f t="shared" si="123"/>
        <v>0</v>
      </c>
      <c r="X524" s="22">
        <f t="shared" si="123"/>
        <v>0</v>
      </c>
      <c r="Y524" s="22">
        <f t="shared" si="123"/>
        <v>0</v>
      </c>
      <c r="Z524" s="22">
        <f t="shared" si="123"/>
        <v>0</v>
      </c>
      <c r="AA524" s="22">
        <f t="shared" si="123"/>
        <v>0</v>
      </c>
      <c r="AB524" s="22">
        <f t="shared" si="123"/>
        <v>0</v>
      </c>
      <c r="AC524" s="22">
        <f t="shared" si="123"/>
        <v>0</v>
      </c>
      <c r="AD524" s="22">
        <f t="shared" si="123"/>
        <v>0</v>
      </c>
    </row>
    <row r="525" spans="1:30" x14ac:dyDescent="0.25">
      <c r="A525" s="294" t="s">
        <v>56</v>
      </c>
      <c r="B525" s="203" t="s">
        <v>545</v>
      </c>
      <c r="C525" s="284">
        <v>850</v>
      </c>
      <c r="D525" s="22">
        <f>'Функц. 2025-2027'!F177</f>
        <v>82</v>
      </c>
      <c r="E525" s="22">
        <f>'Функц. 2025-2027'!H177</f>
        <v>0</v>
      </c>
      <c r="F525" s="22">
        <f>'Функц. 2025-2027'!J177</f>
        <v>0</v>
      </c>
      <c r="G525" s="65"/>
    </row>
    <row r="526" spans="1:30" ht="47.25" x14ac:dyDescent="0.25">
      <c r="A526" s="294" t="s">
        <v>896</v>
      </c>
      <c r="B526" s="510" t="s">
        <v>897</v>
      </c>
      <c r="C526" s="313"/>
      <c r="D526" s="22">
        <f>D527</f>
        <v>0</v>
      </c>
      <c r="E526" s="22">
        <f t="shared" ref="E526:F526" si="124">E527</f>
        <v>19939</v>
      </c>
      <c r="F526" s="22">
        <f t="shared" si="124"/>
        <v>0</v>
      </c>
      <c r="G526" s="65"/>
    </row>
    <row r="527" spans="1:30" x14ac:dyDescent="0.25">
      <c r="A527" s="294" t="s">
        <v>118</v>
      </c>
      <c r="B527" s="350" t="s">
        <v>897</v>
      </c>
      <c r="C527" s="512" t="s">
        <v>36</v>
      </c>
      <c r="D527" s="22">
        <f>D528</f>
        <v>0</v>
      </c>
      <c r="E527" s="22">
        <f t="shared" ref="E527:AD527" si="125">E528</f>
        <v>19939</v>
      </c>
      <c r="F527" s="22">
        <f t="shared" si="125"/>
        <v>0</v>
      </c>
      <c r="G527" s="22">
        <f t="shared" si="125"/>
        <v>0</v>
      </c>
      <c r="H527" s="22">
        <f t="shared" si="125"/>
        <v>0</v>
      </c>
      <c r="I527" s="22">
        <f t="shared" si="125"/>
        <v>0</v>
      </c>
      <c r="J527" s="22">
        <f t="shared" si="125"/>
        <v>0</v>
      </c>
      <c r="K527" s="22">
        <f t="shared" si="125"/>
        <v>0</v>
      </c>
      <c r="L527" s="22">
        <f t="shared" si="125"/>
        <v>0</v>
      </c>
      <c r="M527" s="22">
        <f t="shared" si="125"/>
        <v>0</v>
      </c>
      <c r="N527" s="22">
        <f t="shared" si="125"/>
        <v>0</v>
      </c>
      <c r="O527" s="22">
        <f t="shared" si="125"/>
        <v>0</v>
      </c>
      <c r="P527" s="22">
        <f t="shared" si="125"/>
        <v>0</v>
      </c>
      <c r="Q527" s="22">
        <f t="shared" si="125"/>
        <v>0</v>
      </c>
      <c r="R527" s="22">
        <f t="shared" si="125"/>
        <v>0</v>
      </c>
      <c r="S527" s="22">
        <f t="shared" si="125"/>
        <v>0</v>
      </c>
      <c r="T527" s="22">
        <f t="shared" si="125"/>
        <v>0</v>
      </c>
      <c r="U527" s="22">
        <f t="shared" si="125"/>
        <v>0</v>
      </c>
      <c r="V527" s="22">
        <f t="shared" si="125"/>
        <v>0</v>
      </c>
      <c r="W527" s="22">
        <f t="shared" si="125"/>
        <v>0</v>
      </c>
      <c r="X527" s="22">
        <f t="shared" si="125"/>
        <v>0</v>
      </c>
      <c r="Y527" s="22">
        <f t="shared" si="125"/>
        <v>0</v>
      </c>
      <c r="Z527" s="22">
        <f t="shared" si="125"/>
        <v>0</v>
      </c>
      <c r="AA527" s="22">
        <f t="shared" si="125"/>
        <v>0</v>
      </c>
      <c r="AB527" s="22">
        <f t="shared" si="125"/>
        <v>0</v>
      </c>
      <c r="AC527" s="22">
        <f t="shared" si="125"/>
        <v>0</v>
      </c>
      <c r="AD527" s="22">
        <f t="shared" si="125"/>
        <v>0</v>
      </c>
    </row>
    <row r="528" spans="1:30" x14ac:dyDescent="0.25">
      <c r="A528" s="294" t="s">
        <v>51</v>
      </c>
      <c r="B528" s="350" t="s">
        <v>897</v>
      </c>
      <c r="C528" s="314" t="s">
        <v>64</v>
      </c>
      <c r="D528" s="22">
        <f>'Функц. 2025-2027'!F180</f>
        <v>0</v>
      </c>
      <c r="E528" s="22">
        <f>'Функц. 2025-2027'!H180</f>
        <v>19939</v>
      </c>
      <c r="F528" s="22">
        <f>'Функц. 2025-2027'!J180</f>
        <v>0</v>
      </c>
      <c r="G528" s="65"/>
    </row>
    <row r="529" spans="1:7" ht="31.5" x14ac:dyDescent="0.25">
      <c r="A529" s="200" t="s">
        <v>215</v>
      </c>
      <c r="B529" s="203" t="s">
        <v>216</v>
      </c>
      <c r="C529" s="271"/>
      <c r="D529" s="22">
        <f>D534+D530+D532</f>
        <v>32171.8</v>
      </c>
      <c r="E529" s="22">
        <f>E534+E530+E532</f>
        <v>6451.2000000000016</v>
      </c>
      <c r="F529" s="22">
        <f>F534+F530+F532</f>
        <v>26390.2</v>
      </c>
      <c r="G529" s="65"/>
    </row>
    <row r="530" spans="1:7" ht="47.25" x14ac:dyDescent="0.25">
      <c r="A530" s="252" t="s">
        <v>40</v>
      </c>
      <c r="B530" s="203" t="s">
        <v>216</v>
      </c>
      <c r="C530" s="314" t="s">
        <v>125</v>
      </c>
      <c r="D530" s="22">
        <f>D531</f>
        <v>18810</v>
      </c>
      <c r="E530" s="22">
        <f>E531</f>
        <v>4979.4000000000015</v>
      </c>
      <c r="F530" s="22">
        <f>F531</f>
        <v>24918.400000000001</v>
      </c>
      <c r="G530" s="65"/>
    </row>
    <row r="531" spans="1:7" x14ac:dyDescent="0.25">
      <c r="A531" s="252" t="s">
        <v>67</v>
      </c>
      <c r="B531" s="203" t="s">
        <v>216</v>
      </c>
      <c r="C531" s="314" t="s">
        <v>126</v>
      </c>
      <c r="D531" s="22">
        <f>'Функц. 2025-2027'!F183</f>
        <v>18810</v>
      </c>
      <c r="E531" s="22">
        <f>'Функц. 2025-2027'!H183</f>
        <v>4979.4000000000015</v>
      </c>
      <c r="F531" s="22">
        <f>'Функц. 2025-2027'!J183</f>
        <v>24918.400000000001</v>
      </c>
      <c r="G531" s="65"/>
    </row>
    <row r="532" spans="1:7" x14ac:dyDescent="0.25">
      <c r="A532" s="252" t="s">
        <v>118</v>
      </c>
      <c r="B532" s="203" t="s">
        <v>216</v>
      </c>
      <c r="C532" s="314" t="s">
        <v>36</v>
      </c>
      <c r="D532" s="22">
        <f>D533</f>
        <v>756.1</v>
      </c>
      <c r="E532" s="22">
        <f>E533</f>
        <v>1471.8</v>
      </c>
      <c r="F532" s="22">
        <f>F533</f>
        <v>1471.8</v>
      </c>
      <c r="G532" s="65"/>
    </row>
    <row r="533" spans="1:7" x14ac:dyDescent="0.25">
      <c r="A533" s="252" t="s">
        <v>51</v>
      </c>
      <c r="B533" s="203" t="s">
        <v>216</v>
      </c>
      <c r="C533" s="314" t="s">
        <v>64</v>
      </c>
      <c r="D533" s="22">
        <f>'Функц. 2025-2027'!F185</f>
        <v>756.1</v>
      </c>
      <c r="E533" s="22">
        <f>'Функц. 2025-2027'!H185</f>
        <v>1471.8</v>
      </c>
      <c r="F533" s="22">
        <f>'Функц. 2025-2027'!J185</f>
        <v>1471.8</v>
      </c>
      <c r="G533" s="65"/>
    </row>
    <row r="534" spans="1:7" ht="31.5" x14ac:dyDescent="0.25">
      <c r="A534" s="198" t="s">
        <v>59</v>
      </c>
      <c r="B534" s="203" t="s">
        <v>216</v>
      </c>
      <c r="C534" s="405">
        <v>600</v>
      </c>
      <c r="D534" s="22">
        <f>D535</f>
        <v>12605.7</v>
      </c>
      <c r="E534" s="22">
        <f>E535</f>
        <v>0</v>
      </c>
      <c r="F534" s="22">
        <f>F535</f>
        <v>0</v>
      </c>
      <c r="G534" s="65"/>
    </row>
    <row r="535" spans="1:7" x14ac:dyDescent="0.25">
      <c r="A535" s="198" t="s">
        <v>60</v>
      </c>
      <c r="B535" s="203" t="s">
        <v>216</v>
      </c>
      <c r="C535" s="405">
        <v>610</v>
      </c>
      <c r="D535" s="22">
        <f>'Функц. 2025-2027'!F187</f>
        <v>12605.7</v>
      </c>
      <c r="E535" s="22">
        <f>'Функц. 2025-2027'!H187</f>
        <v>0</v>
      </c>
      <c r="F535" s="22">
        <f>'Функц. 2025-2027'!J187</f>
        <v>0</v>
      </c>
      <c r="G535" s="65"/>
    </row>
    <row r="536" spans="1:7" ht="31.5" x14ac:dyDescent="0.25">
      <c r="A536" s="200" t="s">
        <v>201</v>
      </c>
      <c r="B536" s="203" t="s">
        <v>202</v>
      </c>
      <c r="C536" s="284"/>
      <c r="D536" s="22">
        <f>D537+D549+D542</f>
        <v>133806.29999999999</v>
      </c>
      <c r="E536" s="22">
        <f>E537+E549+E542</f>
        <v>67324.5</v>
      </c>
      <c r="F536" s="22">
        <f>F537+F549+F542</f>
        <v>67324.5</v>
      </c>
      <c r="G536" s="65"/>
    </row>
    <row r="537" spans="1:7" ht="47.25" x14ac:dyDescent="0.25">
      <c r="A537" s="198" t="s">
        <v>217</v>
      </c>
      <c r="B537" s="203" t="s">
        <v>218</v>
      </c>
      <c r="C537" s="285"/>
      <c r="D537" s="22">
        <f>D538+D540</f>
        <v>79325.799999999988</v>
      </c>
      <c r="E537" s="22">
        <f>E538+E540</f>
        <v>27679.600000000002</v>
      </c>
      <c r="F537" s="22">
        <f>F538+F540</f>
        <v>27679.600000000002</v>
      </c>
      <c r="G537" s="65"/>
    </row>
    <row r="538" spans="1:7" ht="47.25" x14ac:dyDescent="0.25">
      <c r="A538" s="198" t="s">
        <v>40</v>
      </c>
      <c r="B538" s="203" t="s">
        <v>218</v>
      </c>
      <c r="C538" s="285" t="s">
        <v>125</v>
      </c>
      <c r="D538" s="22">
        <f>D539</f>
        <v>78583.899999999994</v>
      </c>
      <c r="E538" s="22">
        <f>E539</f>
        <v>26937.7</v>
      </c>
      <c r="F538" s="22">
        <f>F539</f>
        <v>26937.7</v>
      </c>
      <c r="G538" s="65"/>
    </row>
    <row r="539" spans="1:7" x14ac:dyDescent="0.25">
      <c r="A539" s="198" t="s">
        <v>67</v>
      </c>
      <c r="B539" s="203" t="s">
        <v>218</v>
      </c>
      <c r="C539" s="285" t="s">
        <v>126</v>
      </c>
      <c r="D539" s="22">
        <f>'Функц. 2025-2027'!F191</f>
        <v>78583.899999999994</v>
      </c>
      <c r="E539" s="22">
        <f>'Функц. 2025-2027'!H191</f>
        <v>26937.7</v>
      </c>
      <c r="F539" s="22">
        <f>'Функц. 2025-2027'!J191</f>
        <v>26937.7</v>
      </c>
      <c r="G539" s="65"/>
    </row>
    <row r="540" spans="1:7" x14ac:dyDescent="0.25">
      <c r="A540" s="198" t="s">
        <v>118</v>
      </c>
      <c r="B540" s="203" t="s">
        <v>218</v>
      </c>
      <c r="C540" s="285" t="s">
        <v>36</v>
      </c>
      <c r="D540" s="22">
        <f>D541</f>
        <v>741.9</v>
      </c>
      <c r="E540" s="22">
        <f>E541</f>
        <v>741.9</v>
      </c>
      <c r="F540" s="22">
        <f>F541</f>
        <v>741.9</v>
      </c>
      <c r="G540" s="65"/>
    </row>
    <row r="541" spans="1:7" x14ac:dyDescent="0.25">
      <c r="A541" s="198" t="s">
        <v>51</v>
      </c>
      <c r="B541" s="203" t="s">
        <v>218</v>
      </c>
      <c r="C541" s="285" t="s">
        <v>64</v>
      </c>
      <c r="D541" s="22">
        <f>'Функц. 2025-2027'!F193</f>
        <v>741.9</v>
      </c>
      <c r="E541" s="26">
        <f>'Функц. 2025-2027'!H193</f>
        <v>741.9</v>
      </c>
      <c r="F541" s="26">
        <f>'Функц. 2025-2027'!J193</f>
        <v>741.9</v>
      </c>
      <c r="G541" s="65"/>
    </row>
    <row r="542" spans="1:7" ht="47.25" x14ac:dyDescent="0.25">
      <c r="A542" s="198" t="s">
        <v>379</v>
      </c>
      <c r="B542" s="203" t="s">
        <v>380</v>
      </c>
      <c r="C542" s="285"/>
      <c r="D542" s="22">
        <f>D543+D545+D547</f>
        <v>19597.599999999999</v>
      </c>
      <c r="E542" s="22">
        <f>E543+E545+E547</f>
        <v>9307.6</v>
      </c>
      <c r="F542" s="22">
        <f>F543+F545+F547</f>
        <v>9307.6</v>
      </c>
      <c r="G542" s="65"/>
    </row>
    <row r="543" spans="1:7" ht="47.25" x14ac:dyDescent="0.25">
      <c r="A543" s="198" t="s">
        <v>40</v>
      </c>
      <c r="B543" s="203" t="s">
        <v>380</v>
      </c>
      <c r="C543" s="285" t="s">
        <v>125</v>
      </c>
      <c r="D543" s="22">
        <f>D544</f>
        <v>18603.599999999999</v>
      </c>
      <c r="E543" s="22">
        <f>E544</f>
        <v>8603.6</v>
      </c>
      <c r="F543" s="22">
        <f>F544</f>
        <v>8603.6</v>
      </c>
      <c r="G543" s="65"/>
    </row>
    <row r="544" spans="1:7" x14ac:dyDescent="0.25">
      <c r="A544" s="198" t="s">
        <v>67</v>
      </c>
      <c r="B544" s="203" t="s">
        <v>380</v>
      </c>
      <c r="C544" s="285" t="s">
        <v>126</v>
      </c>
      <c r="D544" s="22">
        <f>'Функц. 2025-2027'!F196</f>
        <v>18603.599999999999</v>
      </c>
      <c r="E544" s="22">
        <f>'Функц. 2025-2027'!H196</f>
        <v>8603.6</v>
      </c>
      <c r="F544" s="22">
        <f>'Функц. 2025-2027'!J196</f>
        <v>8603.6</v>
      </c>
      <c r="G544" s="65"/>
    </row>
    <row r="545" spans="1:30" x14ac:dyDescent="0.25">
      <c r="A545" s="198" t="s">
        <v>118</v>
      </c>
      <c r="B545" s="203" t="s">
        <v>380</v>
      </c>
      <c r="C545" s="285" t="s">
        <v>36</v>
      </c>
      <c r="D545" s="22">
        <f>D546</f>
        <v>993.3</v>
      </c>
      <c r="E545" s="22">
        <f>E546</f>
        <v>704</v>
      </c>
      <c r="F545" s="22">
        <f>F546</f>
        <v>704</v>
      </c>
      <c r="G545" s="65"/>
    </row>
    <row r="546" spans="1:30" x14ac:dyDescent="0.25">
      <c r="A546" s="198" t="s">
        <v>51</v>
      </c>
      <c r="B546" s="203" t="s">
        <v>380</v>
      </c>
      <c r="C546" s="285" t="s">
        <v>64</v>
      </c>
      <c r="D546" s="22">
        <f>'Функц. 2025-2027'!F198</f>
        <v>993.3</v>
      </c>
      <c r="E546" s="22">
        <f>'Функц. 2025-2027'!H198</f>
        <v>704</v>
      </c>
      <c r="F546" s="22">
        <f>'Функц. 2025-2027'!J198</f>
        <v>704</v>
      </c>
      <c r="G546" s="65"/>
    </row>
    <row r="547" spans="1:30" x14ac:dyDescent="0.25">
      <c r="A547" s="294" t="s">
        <v>41</v>
      </c>
      <c r="B547" s="350" t="s">
        <v>380</v>
      </c>
      <c r="C547" s="314" t="s">
        <v>342</v>
      </c>
      <c r="D547" s="22">
        <f>D548</f>
        <v>0.7</v>
      </c>
      <c r="E547" s="22">
        <f t="shared" ref="E547:AD547" si="126">E548</f>
        <v>0</v>
      </c>
      <c r="F547" s="22">
        <f t="shared" si="126"/>
        <v>0</v>
      </c>
      <c r="G547" s="22">
        <f t="shared" si="126"/>
        <v>0</v>
      </c>
      <c r="H547" s="22">
        <f t="shared" si="126"/>
        <v>0</v>
      </c>
      <c r="I547" s="22">
        <f t="shared" si="126"/>
        <v>0</v>
      </c>
      <c r="J547" s="22">
        <f t="shared" si="126"/>
        <v>0</v>
      </c>
      <c r="K547" s="22">
        <f t="shared" si="126"/>
        <v>0</v>
      </c>
      <c r="L547" s="22">
        <f t="shared" si="126"/>
        <v>0</v>
      </c>
      <c r="M547" s="22">
        <f t="shared" si="126"/>
        <v>0</v>
      </c>
      <c r="N547" s="22">
        <f t="shared" si="126"/>
        <v>0</v>
      </c>
      <c r="O547" s="22">
        <f t="shared" si="126"/>
        <v>0</v>
      </c>
      <c r="P547" s="22">
        <f t="shared" si="126"/>
        <v>0</v>
      </c>
      <c r="Q547" s="22">
        <f t="shared" si="126"/>
        <v>0</v>
      </c>
      <c r="R547" s="22">
        <f t="shared" si="126"/>
        <v>0</v>
      </c>
      <c r="S547" s="22">
        <f t="shared" si="126"/>
        <v>0</v>
      </c>
      <c r="T547" s="22">
        <f t="shared" si="126"/>
        <v>0</v>
      </c>
      <c r="U547" s="22">
        <f t="shared" si="126"/>
        <v>0</v>
      </c>
      <c r="V547" s="22">
        <f t="shared" si="126"/>
        <v>0</v>
      </c>
      <c r="W547" s="22">
        <f t="shared" si="126"/>
        <v>0</v>
      </c>
      <c r="X547" s="22">
        <f t="shared" si="126"/>
        <v>0</v>
      </c>
      <c r="Y547" s="22">
        <f t="shared" si="126"/>
        <v>0</v>
      </c>
      <c r="Z547" s="22">
        <f t="shared" si="126"/>
        <v>0</v>
      </c>
      <c r="AA547" s="22">
        <f t="shared" si="126"/>
        <v>0</v>
      </c>
      <c r="AB547" s="22">
        <f t="shared" si="126"/>
        <v>0</v>
      </c>
      <c r="AC547" s="22">
        <f t="shared" si="126"/>
        <v>0</v>
      </c>
      <c r="AD547" s="22">
        <f t="shared" si="126"/>
        <v>0</v>
      </c>
    </row>
    <row r="548" spans="1:30" x14ac:dyDescent="0.25">
      <c r="A548" s="294" t="s">
        <v>56</v>
      </c>
      <c r="B548" s="350" t="s">
        <v>380</v>
      </c>
      <c r="C548" s="314" t="s">
        <v>805</v>
      </c>
      <c r="D548" s="22">
        <f>'Функц. 2025-2027'!F200</f>
        <v>0.7</v>
      </c>
      <c r="E548" s="22">
        <f>'Функц. 2025-2027'!H200</f>
        <v>0</v>
      </c>
      <c r="F548" s="22">
        <f>'Функц. 2025-2027'!J200</f>
        <v>0</v>
      </c>
      <c r="G548" s="65"/>
    </row>
    <row r="549" spans="1:30" ht="47.25" x14ac:dyDescent="0.25">
      <c r="A549" s="184" t="s">
        <v>364</v>
      </c>
      <c r="B549" s="203" t="s">
        <v>314</v>
      </c>
      <c r="C549" s="404"/>
      <c r="D549" s="22">
        <f t="shared" ref="D549:F550" si="127">D550</f>
        <v>34882.9</v>
      </c>
      <c r="E549" s="22">
        <f t="shared" si="127"/>
        <v>30337.3</v>
      </c>
      <c r="F549" s="22">
        <f t="shared" si="127"/>
        <v>30337.3</v>
      </c>
      <c r="G549" s="65"/>
    </row>
    <row r="550" spans="1:30" ht="31.5" x14ac:dyDescent="0.25">
      <c r="A550" s="259" t="s">
        <v>59</v>
      </c>
      <c r="B550" s="203" t="s">
        <v>314</v>
      </c>
      <c r="C550" s="404">
        <v>600</v>
      </c>
      <c r="D550" s="22">
        <f t="shared" si="127"/>
        <v>34882.9</v>
      </c>
      <c r="E550" s="22">
        <f t="shared" si="127"/>
        <v>30337.3</v>
      </c>
      <c r="F550" s="22">
        <f t="shared" si="127"/>
        <v>30337.3</v>
      </c>
      <c r="G550" s="65"/>
    </row>
    <row r="551" spans="1:30" x14ac:dyDescent="0.25">
      <c r="A551" s="259" t="s">
        <v>60</v>
      </c>
      <c r="B551" s="203" t="s">
        <v>314</v>
      </c>
      <c r="C551" s="404">
        <v>610</v>
      </c>
      <c r="D551" s="22">
        <f>'Функц. 2025-2027'!F326</f>
        <v>34882.9</v>
      </c>
      <c r="E551" s="22">
        <f>'Функц. 2025-2027'!H326</f>
        <v>30337.3</v>
      </c>
      <c r="F551" s="22">
        <f>'Функц. 2025-2027'!J326</f>
        <v>30337.3</v>
      </c>
      <c r="G551" s="65"/>
    </row>
    <row r="552" spans="1:30" ht="31.5" x14ac:dyDescent="0.25">
      <c r="A552" s="259" t="s">
        <v>529</v>
      </c>
      <c r="B552" s="203" t="s">
        <v>530</v>
      </c>
      <c r="C552" s="404"/>
      <c r="D552" s="22">
        <f t="shared" ref="D552:F554" si="128">D553</f>
        <v>1127.5999999999999</v>
      </c>
      <c r="E552" s="22">
        <f t="shared" si="128"/>
        <v>830.09999999999991</v>
      </c>
      <c r="F552" s="22">
        <f t="shared" si="128"/>
        <v>983.4</v>
      </c>
      <c r="G552" s="65"/>
    </row>
    <row r="553" spans="1:30" ht="78.75" x14ac:dyDescent="0.25">
      <c r="A553" s="259" t="s">
        <v>401</v>
      </c>
      <c r="B553" s="203" t="s">
        <v>531</v>
      </c>
      <c r="C553" s="404"/>
      <c r="D553" s="22">
        <f t="shared" si="128"/>
        <v>1127.5999999999999</v>
      </c>
      <c r="E553" s="22">
        <f t="shared" si="128"/>
        <v>830.09999999999991</v>
      </c>
      <c r="F553" s="22">
        <f t="shared" si="128"/>
        <v>983.4</v>
      </c>
      <c r="G553" s="65"/>
    </row>
    <row r="554" spans="1:30" x14ac:dyDescent="0.25">
      <c r="A554" s="255" t="s">
        <v>118</v>
      </c>
      <c r="B554" s="116" t="s">
        <v>531</v>
      </c>
      <c r="C554" s="284">
        <v>200</v>
      </c>
      <c r="D554" s="22">
        <f t="shared" si="128"/>
        <v>1127.5999999999999</v>
      </c>
      <c r="E554" s="22">
        <f t="shared" si="128"/>
        <v>830.09999999999991</v>
      </c>
      <c r="F554" s="22">
        <f t="shared" si="128"/>
        <v>983.4</v>
      </c>
      <c r="G554" s="65"/>
    </row>
    <row r="555" spans="1:30" x14ac:dyDescent="0.25">
      <c r="A555" s="255" t="s">
        <v>51</v>
      </c>
      <c r="B555" s="116" t="s">
        <v>531</v>
      </c>
      <c r="C555" s="284">
        <v>240</v>
      </c>
      <c r="D555" s="22">
        <f>'Функц. 2025-2027'!F76+'Функц. 2025-2027'!F107+'Функц. 2025-2027'!F581+'Функц. 2025-2027'!F204+'Функц. 2025-2027'!F29+'Функц. 2025-2027'!F502</f>
        <v>1127.5999999999999</v>
      </c>
      <c r="E555" s="22">
        <f>'Функц. 2025-2027'!H76+'Функц. 2025-2027'!H581+'Функц. 2025-2027'!H204+'Функц. 2025-2027'!H107+'Функц. 2025-2027'!H502</f>
        <v>830.09999999999991</v>
      </c>
      <c r="F555" s="22">
        <f>'Функц. 2025-2027'!J76+'Функц. 2025-2027'!J581+'Функц. 2025-2027'!J204+'Функц. 2025-2027'!J107+'ведом. 2025-2027'!AF324</f>
        <v>983.4</v>
      </c>
      <c r="G555" s="65"/>
    </row>
    <row r="556" spans="1:30" ht="31.5" x14ac:dyDescent="0.25">
      <c r="A556" s="263" t="s">
        <v>296</v>
      </c>
      <c r="B556" s="411" t="s">
        <v>130</v>
      </c>
      <c r="C556" s="398"/>
      <c r="D556" s="24">
        <f>D557+D572+D588+D583+D566</f>
        <v>24649.599999999999</v>
      </c>
      <c r="E556" s="24">
        <f t="shared" ref="E556:AD556" si="129">E557+E572+E588+E583+E566</f>
        <v>12171</v>
      </c>
      <c r="F556" s="24">
        <f t="shared" si="129"/>
        <v>10164.5</v>
      </c>
      <c r="G556" s="24">
        <f t="shared" si="129"/>
        <v>0</v>
      </c>
      <c r="H556" s="24">
        <f t="shared" si="129"/>
        <v>0</v>
      </c>
      <c r="I556" s="24">
        <f t="shared" si="129"/>
        <v>0</v>
      </c>
      <c r="J556" s="24">
        <f t="shared" si="129"/>
        <v>0</v>
      </c>
      <c r="K556" s="24">
        <f t="shared" si="129"/>
        <v>0</v>
      </c>
      <c r="L556" s="24">
        <f t="shared" si="129"/>
        <v>0</v>
      </c>
      <c r="M556" s="24">
        <f t="shared" si="129"/>
        <v>0</v>
      </c>
      <c r="N556" s="24">
        <f t="shared" si="129"/>
        <v>0</v>
      </c>
      <c r="O556" s="24">
        <f t="shared" si="129"/>
        <v>0</v>
      </c>
      <c r="P556" s="24">
        <f t="shared" si="129"/>
        <v>0</v>
      </c>
      <c r="Q556" s="24">
        <f t="shared" si="129"/>
        <v>0</v>
      </c>
      <c r="R556" s="24">
        <f t="shared" si="129"/>
        <v>0</v>
      </c>
      <c r="S556" s="24">
        <f t="shared" si="129"/>
        <v>0</v>
      </c>
      <c r="T556" s="24">
        <f t="shared" si="129"/>
        <v>0</v>
      </c>
      <c r="U556" s="24">
        <f t="shared" si="129"/>
        <v>0</v>
      </c>
      <c r="V556" s="24">
        <f t="shared" si="129"/>
        <v>0</v>
      </c>
      <c r="W556" s="24">
        <f t="shared" si="129"/>
        <v>0</v>
      </c>
      <c r="X556" s="24">
        <f t="shared" si="129"/>
        <v>0</v>
      </c>
      <c r="Y556" s="24">
        <f t="shared" si="129"/>
        <v>0</v>
      </c>
      <c r="Z556" s="24">
        <f t="shared" si="129"/>
        <v>0</v>
      </c>
      <c r="AA556" s="24">
        <f t="shared" si="129"/>
        <v>0</v>
      </c>
      <c r="AB556" s="24">
        <f t="shared" si="129"/>
        <v>0</v>
      </c>
      <c r="AC556" s="24">
        <f t="shared" si="129"/>
        <v>0</v>
      </c>
      <c r="AD556" s="24">
        <f t="shared" si="129"/>
        <v>0</v>
      </c>
    </row>
    <row r="557" spans="1:30" ht="47.25" x14ac:dyDescent="0.25">
      <c r="A557" s="196" t="s">
        <v>510</v>
      </c>
      <c r="B557" s="116" t="s">
        <v>298</v>
      </c>
      <c r="C557" s="284"/>
      <c r="D557" s="22">
        <f>D558+D562</f>
        <v>11402.4</v>
      </c>
      <c r="E557" s="22">
        <f>E558+E562</f>
        <v>4365</v>
      </c>
      <c r="F557" s="22">
        <f>F558+F562</f>
        <v>3000</v>
      </c>
      <c r="G557" s="65"/>
    </row>
    <row r="558" spans="1:30" ht="31.5" x14ac:dyDescent="0.25">
      <c r="A558" s="197" t="s">
        <v>299</v>
      </c>
      <c r="B558" s="116" t="s">
        <v>300</v>
      </c>
      <c r="C558" s="284"/>
      <c r="D558" s="22">
        <f t="shared" ref="D558:F560" si="130">D559</f>
        <v>9658.4</v>
      </c>
      <c r="E558" s="22">
        <f t="shared" si="130"/>
        <v>3000</v>
      </c>
      <c r="F558" s="22">
        <f t="shared" si="130"/>
        <v>3000</v>
      </c>
      <c r="G558" s="65"/>
    </row>
    <row r="559" spans="1:30" ht="94.5" x14ac:dyDescent="0.25">
      <c r="A559" s="183" t="s">
        <v>666</v>
      </c>
      <c r="B559" s="203" t="s">
        <v>301</v>
      </c>
      <c r="C559" s="284"/>
      <c r="D559" s="22">
        <f t="shared" si="130"/>
        <v>9658.4</v>
      </c>
      <c r="E559" s="22">
        <f t="shared" si="130"/>
        <v>3000</v>
      </c>
      <c r="F559" s="22">
        <f t="shared" si="130"/>
        <v>3000</v>
      </c>
      <c r="G559" s="65"/>
    </row>
    <row r="560" spans="1:30" x14ac:dyDescent="0.25">
      <c r="A560" s="198" t="s">
        <v>118</v>
      </c>
      <c r="B560" s="203" t="s">
        <v>301</v>
      </c>
      <c r="C560" s="284">
        <v>200</v>
      </c>
      <c r="D560" s="22">
        <f t="shared" si="130"/>
        <v>9658.4</v>
      </c>
      <c r="E560" s="22">
        <f t="shared" si="130"/>
        <v>3000</v>
      </c>
      <c r="F560" s="22">
        <f t="shared" si="130"/>
        <v>3000</v>
      </c>
      <c r="G560" s="65"/>
    </row>
    <row r="561" spans="1:7" x14ac:dyDescent="0.25">
      <c r="A561" s="198" t="s">
        <v>51</v>
      </c>
      <c r="B561" s="203" t="s">
        <v>301</v>
      </c>
      <c r="C561" s="284">
        <v>240</v>
      </c>
      <c r="D561" s="22">
        <f>'Функц. 2025-2027'!F82</f>
        <v>9658.4</v>
      </c>
      <c r="E561" s="22">
        <f>'Функц. 2025-2027'!H82</f>
        <v>3000</v>
      </c>
      <c r="F561" s="22">
        <f>'Функц. 2025-2027'!J79</f>
        <v>3000</v>
      </c>
      <c r="G561" s="65"/>
    </row>
    <row r="562" spans="1:7" ht="31.5" x14ac:dyDescent="0.25">
      <c r="A562" s="183" t="s">
        <v>302</v>
      </c>
      <c r="B562" s="116" t="s">
        <v>303</v>
      </c>
      <c r="C562" s="284"/>
      <c r="D562" s="22">
        <f t="shared" ref="D562:F564" si="131">D563</f>
        <v>1744</v>
      </c>
      <c r="E562" s="22">
        <f t="shared" si="131"/>
        <v>1365</v>
      </c>
      <c r="F562" s="22">
        <f t="shared" si="131"/>
        <v>0</v>
      </c>
      <c r="G562" s="65"/>
    </row>
    <row r="563" spans="1:7" ht="47.25" x14ac:dyDescent="0.25">
      <c r="A563" s="197" t="s">
        <v>347</v>
      </c>
      <c r="B563" s="116" t="s">
        <v>304</v>
      </c>
      <c r="C563" s="284"/>
      <c r="D563" s="22">
        <f t="shared" si="131"/>
        <v>1744</v>
      </c>
      <c r="E563" s="22">
        <f t="shared" si="131"/>
        <v>1365</v>
      </c>
      <c r="F563" s="22">
        <f t="shared" si="131"/>
        <v>0</v>
      </c>
      <c r="G563" s="65"/>
    </row>
    <row r="564" spans="1:7" x14ac:dyDescent="0.25">
      <c r="A564" s="198" t="s">
        <v>118</v>
      </c>
      <c r="B564" s="116" t="s">
        <v>304</v>
      </c>
      <c r="C564" s="284">
        <v>200</v>
      </c>
      <c r="D564" s="22">
        <f t="shared" si="131"/>
        <v>1744</v>
      </c>
      <c r="E564" s="22">
        <f t="shared" si="131"/>
        <v>1365</v>
      </c>
      <c r="F564" s="22">
        <f t="shared" si="131"/>
        <v>0</v>
      </c>
      <c r="G564" s="65"/>
    </row>
    <row r="565" spans="1:7" x14ac:dyDescent="0.25">
      <c r="A565" s="198" t="s">
        <v>51</v>
      </c>
      <c r="B565" s="116" t="s">
        <v>304</v>
      </c>
      <c r="C565" s="284">
        <v>240</v>
      </c>
      <c r="D565" s="22">
        <f>'Функц. 2025-2027'!F508</f>
        <v>1744</v>
      </c>
      <c r="E565" s="22">
        <f>'Функц. 2025-2027'!H508</f>
        <v>1365</v>
      </c>
      <c r="F565" s="22">
        <f>'Функц. 2025-2027'!J508</f>
        <v>0</v>
      </c>
      <c r="G565" s="65"/>
    </row>
    <row r="566" spans="1:7" x14ac:dyDescent="0.25">
      <c r="A566" s="255" t="s">
        <v>835</v>
      </c>
      <c r="B566" s="116" t="s">
        <v>836</v>
      </c>
      <c r="C566" s="377"/>
      <c r="D566" s="22">
        <f>D567</f>
        <v>6000</v>
      </c>
      <c r="E566" s="22">
        <f>E567</f>
        <v>0</v>
      </c>
      <c r="F566" s="22">
        <f>F567</f>
        <v>0</v>
      </c>
      <c r="G566" s="65"/>
    </row>
    <row r="567" spans="1:7" x14ac:dyDescent="0.25">
      <c r="A567" s="255" t="s">
        <v>838</v>
      </c>
      <c r="B567" s="116" t="s">
        <v>837</v>
      </c>
      <c r="C567" s="377"/>
      <c r="D567" s="22">
        <f>D569</f>
        <v>6000</v>
      </c>
      <c r="E567" s="22">
        <f>E569</f>
        <v>0</v>
      </c>
      <c r="F567" s="22">
        <f>F569</f>
        <v>0</v>
      </c>
      <c r="G567" s="65"/>
    </row>
    <row r="568" spans="1:7" ht="31.5" x14ac:dyDescent="0.25">
      <c r="A568" s="255" t="s">
        <v>841</v>
      </c>
      <c r="B568" s="116" t="s">
        <v>842</v>
      </c>
      <c r="C568" s="377"/>
      <c r="D568" s="22">
        <f t="shared" ref="D568:F570" si="132">D569</f>
        <v>6000</v>
      </c>
      <c r="E568" s="22">
        <f t="shared" si="132"/>
        <v>0</v>
      </c>
      <c r="F568" s="22">
        <f t="shared" si="132"/>
        <v>0</v>
      </c>
      <c r="G568" s="65"/>
    </row>
    <row r="569" spans="1:7" ht="63" x14ac:dyDescent="0.25">
      <c r="A569" s="255" t="s">
        <v>839</v>
      </c>
      <c r="B569" s="116" t="s">
        <v>840</v>
      </c>
      <c r="C569" s="377"/>
      <c r="D569" s="22">
        <f t="shared" si="132"/>
        <v>6000</v>
      </c>
      <c r="E569" s="22">
        <f t="shared" si="132"/>
        <v>0</v>
      </c>
      <c r="F569" s="22">
        <f t="shared" si="132"/>
        <v>0</v>
      </c>
      <c r="G569" s="65"/>
    </row>
    <row r="570" spans="1:7" ht="31.5" x14ac:dyDescent="0.25">
      <c r="A570" s="255" t="s">
        <v>59</v>
      </c>
      <c r="B570" s="116" t="s">
        <v>840</v>
      </c>
      <c r="C570" s="377">
        <v>600</v>
      </c>
      <c r="D570" s="22">
        <f t="shared" si="132"/>
        <v>6000</v>
      </c>
      <c r="E570" s="22">
        <f t="shared" si="132"/>
        <v>0</v>
      </c>
      <c r="F570" s="22">
        <f t="shared" si="132"/>
        <v>0</v>
      </c>
      <c r="G570" s="65"/>
    </row>
    <row r="571" spans="1:7" x14ac:dyDescent="0.25">
      <c r="A571" s="255" t="s">
        <v>60</v>
      </c>
      <c r="B571" s="116" t="s">
        <v>840</v>
      </c>
      <c r="C571" s="377">
        <v>610</v>
      </c>
      <c r="D571" s="22">
        <f>'Функц. 2025-2027'!F714</f>
        <v>6000</v>
      </c>
      <c r="E571" s="22">
        <f>'Функц. 2025-2027'!H714</f>
        <v>0</v>
      </c>
      <c r="F571" s="22">
        <f>'Функц. 2025-2027'!J714</f>
        <v>0</v>
      </c>
      <c r="G571" s="65"/>
    </row>
    <row r="572" spans="1:7" x14ac:dyDescent="0.25">
      <c r="A572" s="196" t="s">
        <v>305</v>
      </c>
      <c r="B572" s="116" t="s">
        <v>306</v>
      </c>
      <c r="C572" s="284"/>
      <c r="D572" s="22">
        <f>D573+D579</f>
        <v>2471.1999999999998</v>
      </c>
      <c r="E572" s="22">
        <f>E573+E579</f>
        <v>1862.7</v>
      </c>
      <c r="F572" s="22">
        <f>F573+F579</f>
        <v>1951.2</v>
      </c>
      <c r="G572" s="65"/>
    </row>
    <row r="573" spans="1:7" x14ac:dyDescent="0.25">
      <c r="A573" s="197" t="s">
        <v>508</v>
      </c>
      <c r="B573" s="116" t="s">
        <v>307</v>
      </c>
      <c r="C573" s="284"/>
      <c r="D573" s="22">
        <f t="shared" ref="D573:F575" si="133">D574</f>
        <v>1330.6</v>
      </c>
      <c r="E573" s="22">
        <f t="shared" si="133"/>
        <v>612.20000000000005</v>
      </c>
      <c r="F573" s="22">
        <f t="shared" si="133"/>
        <v>700.7</v>
      </c>
      <c r="G573" s="65"/>
    </row>
    <row r="574" spans="1:7" ht="33.75" customHeight="1" x14ac:dyDescent="0.25">
      <c r="A574" s="183" t="s">
        <v>757</v>
      </c>
      <c r="B574" s="116" t="s">
        <v>308</v>
      </c>
      <c r="C574" s="284"/>
      <c r="D574" s="22">
        <f>D575+D577</f>
        <v>1330.6</v>
      </c>
      <c r="E574" s="22">
        <f>E575+E577</f>
        <v>612.20000000000005</v>
      </c>
      <c r="F574" s="22">
        <f>F575+F577</f>
        <v>700.7</v>
      </c>
      <c r="G574" s="65"/>
    </row>
    <row r="575" spans="1:7" x14ac:dyDescent="0.25">
      <c r="A575" s="198" t="s">
        <v>118</v>
      </c>
      <c r="B575" s="116" t="s">
        <v>308</v>
      </c>
      <c r="C575" s="284">
        <v>200</v>
      </c>
      <c r="D575" s="22">
        <f t="shared" si="133"/>
        <v>597.29999999999984</v>
      </c>
      <c r="E575" s="22">
        <f t="shared" si="133"/>
        <v>450.00000000000006</v>
      </c>
      <c r="F575" s="22">
        <f t="shared" si="133"/>
        <v>450.00000000000006</v>
      </c>
      <c r="G575" s="65"/>
    </row>
    <row r="576" spans="1:7" x14ac:dyDescent="0.25">
      <c r="A576" s="198" t="s">
        <v>51</v>
      </c>
      <c r="B576" s="116" t="s">
        <v>308</v>
      </c>
      <c r="C576" s="284">
        <v>240</v>
      </c>
      <c r="D576" s="22">
        <f>'Функц. 2025-2027'!F772</f>
        <v>597.29999999999984</v>
      </c>
      <c r="E576" s="22">
        <f>'Функц. 2025-2027'!H772</f>
        <v>450.00000000000006</v>
      </c>
      <c r="F576" s="22">
        <f>'Функц. 2025-2027'!J772</f>
        <v>450.00000000000006</v>
      </c>
      <c r="G576" s="65"/>
    </row>
    <row r="577" spans="1:30" ht="31.5" x14ac:dyDescent="0.25">
      <c r="A577" s="294" t="s">
        <v>59</v>
      </c>
      <c r="B577" s="116" t="s">
        <v>308</v>
      </c>
      <c r="C577" s="284">
        <v>600</v>
      </c>
      <c r="D577" s="22">
        <f>D578</f>
        <v>733.30000000000007</v>
      </c>
      <c r="E577" s="22">
        <f>E578</f>
        <v>162.19999999999999</v>
      </c>
      <c r="F577" s="22">
        <f>F578</f>
        <v>250.7</v>
      </c>
      <c r="G577" s="65"/>
    </row>
    <row r="578" spans="1:30" x14ac:dyDescent="0.25">
      <c r="A578" s="294" t="s">
        <v>60</v>
      </c>
      <c r="B578" s="116" t="s">
        <v>308</v>
      </c>
      <c r="C578" s="284">
        <v>610</v>
      </c>
      <c r="D578" s="22">
        <f>'Функц. 2025-2027'!F774</f>
        <v>733.30000000000007</v>
      </c>
      <c r="E578" s="22">
        <f>'Функц. 2025-2027'!H774</f>
        <v>162.19999999999999</v>
      </c>
      <c r="F578" s="22">
        <f>'Функц. 2025-2027'!J774</f>
        <v>250.7</v>
      </c>
      <c r="G578" s="65"/>
    </row>
    <row r="579" spans="1:30" ht="63" x14ac:dyDescent="0.25">
      <c r="A579" s="253" t="s">
        <v>568</v>
      </c>
      <c r="B579" s="223" t="s">
        <v>569</v>
      </c>
      <c r="C579" s="284"/>
      <c r="D579" s="22">
        <f t="shared" ref="D579:F581" si="134">D580</f>
        <v>1140.5999999999999</v>
      </c>
      <c r="E579" s="22">
        <f t="shared" si="134"/>
        <v>1250.5</v>
      </c>
      <c r="F579" s="22">
        <f t="shared" si="134"/>
        <v>1250.5</v>
      </c>
      <c r="G579" s="65"/>
    </row>
    <row r="580" spans="1:30" ht="34.5" customHeight="1" x14ac:dyDescent="0.25">
      <c r="A580" s="253" t="s">
        <v>758</v>
      </c>
      <c r="B580" s="223" t="s">
        <v>570</v>
      </c>
      <c r="C580" s="284"/>
      <c r="D580" s="22">
        <f t="shared" si="134"/>
        <v>1140.5999999999999</v>
      </c>
      <c r="E580" s="22">
        <f t="shared" si="134"/>
        <v>1250.5</v>
      </c>
      <c r="F580" s="22">
        <f t="shared" si="134"/>
        <v>1250.5</v>
      </c>
      <c r="G580" s="65"/>
    </row>
    <row r="581" spans="1:30" ht="31.5" x14ac:dyDescent="0.25">
      <c r="A581" s="259" t="s">
        <v>59</v>
      </c>
      <c r="B581" s="223" t="s">
        <v>570</v>
      </c>
      <c r="C581" s="284">
        <v>600</v>
      </c>
      <c r="D581" s="22">
        <f t="shared" si="134"/>
        <v>1140.5999999999999</v>
      </c>
      <c r="E581" s="22">
        <f t="shared" si="134"/>
        <v>1250.5</v>
      </c>
      <c r="F581" s="22">
        <f t="shared" si="134"/>
        <v>1250.5</v>
      </c>
      <c r="G581" s="65"/>
    </row>
    <row r="582" spans="1:30" x14ac:dyDescent="0.25">
      <c r="A582" s="259" t="s">
        <v>60</v>
      </c>
      <c r="B582" s="223" t="s">
        <v>570</v>
      </c>
      <c r="C582" s="284">
        <v>610</v>
      </c>
      <c r="D582" s="22">
        <f>'Функц. 2025-2027'!F778</f>
        <v>1140.5999999999999</v>
      </c>
      <c r="E582" s="22">
        <f>'Функц. 2025-2027'!H778</f>
        <v>1250.5</v>
      </c>
      <c r="F582" s="22">
        <f>'Функц. 2025-2027'!J778</f>
        <v>1250.5</v>
      </c>
      <c r="G582" s="65"/>
    </row>
    <row r="583" spans="1:30" ht="31.5" x14ac:dyDescent="0.25">
      <c r="A583" s="294" t="s">
        <v>796</v>
      </c>
      <c r="B583" s="349" t="s">
        <v>800</v>
      </c>
      <c r="C583" s="297"/>
      <c r="D583" s="22">
        <f t="shared" ref="D583:F584" si="135">D584</f>
        <v>119</v>
      </c>
      <c r="E583" s="22">
        <f t="shared" si="135"/>
        <v>0</v>
      </c>
      <c r="F583" s="22">
        <f t="shared" si="135"/>
        <v>0</v>
      </c>
      <c r="G583" s="65"/>
    </row>
    <row r="584" spans="1:30" ht="31.5" x14ac:dyDescent="0.25">
      <c r="A584" s="294" t="s">
        <v>795</v>
      </c>
      <c r="B584" s="349" t="s">
        <v>799</v>
      </c>
      <c r="C584" s="297"/>
      <c r="D584" s="22">
        <f t="shared" si="135"/>
        <v>119</v>
      </c>
      <c r="E584" s="22">
        <f t="shared" si="135"/>
        <v>0</v>
      </c>
      <c r="F584" s="22">
        <f t="shared" si="135"/>
        <v>0</v>
      </c>
      <c r="G584" s="65"/>
    </row>
    <row r="585" spans="1:30" x14ac:dyDescent="0.25">
      <c r="A585" s="294" t="s">
        <v>797</v>
      </c>
      <c r="B585" s="349" t="s">
        <v>798</v>
      </c>
      <c r="C585" s="297"/>
      <c r="D585" s="22">
        <f>D586</f>
        <v>119</v>
      </c>
      <c r="E585" s="22">
        <f t="shared" ref="E585:AD585" si="136">E586</f>
        <v>0</v>
      </c>
      <c r="F585" s="22">
        <f t="shared" si="136"/>
        <v>0</v>
      </c>
      <c r="G585" s="22">
        <f t="shared" si="136"/>
        <v>0</v>
      </c>
      <c r="H585" s="22">
        <f t="shared" si="136"/>
        <v>0</v>
      </c>
      <c r="I585" s="22">
        <f t="shared" si="136"/>
        <v>0</v>
      </c>
      <c r="J585" s="22">
        <f t="shared" si="136"/>
        <v>0</v>
      </c>
      <c r="K585" s="22">
        <f t="shared" si="136"/>
        <v>0</v>
      </c>
      <c r="L585" s="22">
        <f t="shared" si="136"/>
        <v>0</v>
      </c>
      <c r="M585" s="22">
        <f t="shared" si="136"/>
        <v>0</v>
      </c>
      <c r="N585" s="22">
        <f t="shared" si="136"/>
        <v>0</v>
      </c>
      <c r="O585" s="22">
        <f t="shared" si="136"/>
        <v>0</v>
      </c>
      <c r="P585" s="22">
        <f t="shared" si="136"/>
        <v>0</v>
      </c>
      <c r="Q585" s="22">
        <f t="shared" si="136"/>
        <v>0</v>
      </c>
      <c r="R585" s="22">
        <f t="shared" si="136"/>
        <v>0</v>
      </c>
      <c r="S585" s="22">
        <f t="shared" si="136"/>
        <v>0</v>
      </c>
      <c r="T585" s="22">
        <f t="shared" si="136"/>
        <v>0</v>
      </c>
      <c r="U585" s="22">
        <f t="shared" si="136"/>
        <v>0</v>
      </c>
      <c r="V585" s="22">
        <f t="shared" si="136"/>
        <v>0</v>
      </c>
      <c r="W585" s="22">
        <f t="shared" si="136"/>
        <v>0</v>
      </c>
      <c r="X585" s="22">
        <f t="shared" si="136"/>
        <v>0</v>
      </c>
      <c r="Y585" s="22">
        <f t="shared" si="136"/>
        <v>0</v>
      </c>
      <c r="Z585" s="22">
        <f t="shared" si="136"/>
        <v>0</v>
      </c>
      <c r="AA585" s="22">
        <f t="shared" si="136"/>
        <v>0</v>
      </c>
      <c r="AB585" s="22">
        <f t="shared" si="136"/>
        <v>0</v>
      </c>
      <c r="AC585" s="22">
        <f t="shared" si="136"/>
        <v>0</v>
      </c>
      <c r="AD585" s="22">
        <f t="shared" si="136"/>
        <v>0</v>
      </c>
    </row>
    <row r="586" spans="1:30" ht="31.5" x14ac:dyDescent="0.25">
      <c r="A586" s="294" t="s">
        <v>59</v>
      </c>
      <c r="B586" s="349" t="s">
        <v>798</v>
      </c>
      <c r="C586" s="297">
        <v>600</v>
      </c>
      <c r="D586" s="22">
        <f>D587</f>
        <v>119</v>
      </c>
      <c r="E586" s="22">
        <f>E587</f>
        <v>0</v>
      </c>
      <c r="F586" s="22">
        <f>F587</f>
        <v>0</v>
      </c>
      <c r="G586" s="65"/>
    </row>
    <row r="587" spans="1:30" x14ac:dyDescent="0.25">
      <c r="A587" s="294" t="s">
        <v>60</v>
      </c>
      <c r="B587" s="349" t="s">
        <v>798</v>
      </c>
      <c r="C587" s="297">
        <v>610</v>
      </c>
      <c r="D587" s="22">
        <f>'Функц. 2025-2027'!F783</f>
        <v>119</v>
      </c>
      <c r="E587" s="22">
        <f>'Функц. 2025-2027'!H783</f>
        <v>0</v>
      </c>
      <c r="F587" s="22">
        <f>'Функц. 2025-2027'!J783</f>
        <v>0</v>
      </c>
      <c r="G587" s="65"/>
    </row>
    <row r="588" spans="1:30" x14ac:dyDescent="0.25">
      <c r="A588" s="182" t="s">
        <v>47</v>
      </c>
      <c r="B588" s="116" t="s">
        <v>439</v>
      </c>
      <c r="C588" s="284"/>
      <c r="D588" s="22">
        <f>D589+D593</f>
        <v>4657</v>
      </c>
      <c r="E588" s="22">
        <f>E589+E593</f>
        <v>5943.3</v>
      </c>
      <c r="F588" s="22">
        <f>F589+F593</f>
        <v>5213.3</v>
      </c>
      <c r="G588" s="65"/>
    </row>
    <row r="589" spans="1:30" x14ac:dyDescent="0.25">
      <c r="A589" s="183" t="s">
        <v>452</v>
      </c>
      <c r="B589" s="116" t="s">
        <v>440</v>
      </c>
      <c r="C589" s="284"/>
      <c r="D589" s="22">
        <f t="shared" ref="D589:F591" si="137">D590</f>
        <v>4656.3999999999996</v>
      </c>
      <c r="E589" s="22">
        <f t="shared" si="137"/>
        <v>5021.3</v>
      </c>
      <c r="F589" s="22">
        <f t="shared" si="137"/>
        <v>5193.1000000000004</v>
      </c>
      <c r="G589" s="65"/>
    </row>
    <row r="590" spans="1:30" ht="31.5" x14ac:dyDescent="0.25">
      <c r="A590" s="182" t="s">
        <v>451</v>
      </c>
      <c r="B590" s="116" t="s">
        <v>447</v>
      </c>
      <c r="C590" s="406"/>
      <c r="D590" s="22">
        <f t="shared" si="137"/>
        <v>4656.3999999999996</v>
      </c>
      <c r="E590" s="22">
        <f t="shared" si="137"/>
        <v>5021.3</v>
      </c>
      <c r="F590" s="22">
        <f t="shared" si="137"/>
        <v>5193.1000000000004</v>
      </c>
      <c r="G590" s="65"/>
    </row>
    <row r="591" spans="1:30" ht="47.25" x14ac:dyDescent="0.25">
      <c r="A591" s="198" t="s">
        <v>40</v>
      </c>
      <c r="B591" s="116" t="s">
        <v>447</v>
      </c>
      <c r="C591" s="284">
        <v>100</v>
      </c>
      <c r="D591" s="22">
        <f t="shared" si="137"/>
        <v>4656.3999999999996</v>
      </c>
      <c r="E591" s="22">
        <f t="shared" si="137"/>
        <v>5021.3</v>
      </c>
      <c r="F591" s="22">
        <f t="shared" si="137"/>
        <v>5193.1000000000004</v>
      </c>
      <c r="G591" s="65"/>
    </row>
    <row r="592" spans="1:30" x14ac:dyDescent="0.25">
      <c r="A592" s="198" t="s">
        <v>94</v>
      </c>
      <c r="B592" s="116" t="s">
        <v>447</v>
      </c>
      <c r="C592" s="284">
        <v>120</v>
      </c>
      <c r="D592" s="22">
        <f>'Функц. 2025-2027'!F235</f>
        <v>4656.3999999999996</v>
      </c>
      <c r="E592" s="22">
        <f>'Функц. 2025-2027'!H235</f>
        <v>5021.3</v>
      </c>
      <c r="F592" s="22">
        <f>'Функц. 2025-2027'!J235</f>
        <v>5193.1000000000004</v>
      </c>
      <c r="G592" s="65"/>
    </row>
    <row r="593" spans="1:30" ht="31.5" x14ac:dyDescent="0.25">
      <c r="A593" s="197" t="s">
        <v>309</v>
      </c>
      <c r="B593" s="116" t="s">
        <v>448</v>
      </c>
      <c r="C593" s="284"/>
      <c r="D593" s="22">
        <f t="shared" ref="D593:F595" si="138">D594</f>
        <v>0.6</v>
      </c>
      <c r="E593" s="22">
        <f t="shared" si="138"/>
        <v>922</v>
      </c>
      <c r="F593" s="22">
        <f t="shared" si="138"/>
        <v>20.2</v>
      </c>
      <c r="G593" s="65"/>
    </row>
    <row r="594" spans="1:30" ht="31.5" x14ac:dyDescent="0.25">
      <c r="A594" s="196" t="s">
        <v>450</v>
      </c>
      <c r="B594" s="116" t="s">
        <v>449</v>
      </c>
      <c r="C594" s="284"/>
      <c r="D594" s="22">
        <f t="shared" si="138"/>
        <v>0.6</v>
      </c>
      <c r="E594" s="22">
        <f t="shared" si="138"/>
        <v>922</v>
      </c>
      <c r="F594" s="22">
        <f t="shared" si="138"/>
        <v>20.2</v>
      </c>
      <c r="G594" s="65"/>
    </row>
    <row r="595" spans="1:30" x14ac:dyDescent="0.25">
      <c r="A595" s="198" t="s">
        <v>118</v>
      </c>
      <c r="B595" s="116" t="s">
        <v>449</v>
      </c>
      <c r="C595" s="284">
        <v>200</v>
      </c>
      <c r="D595" s="22">
        <f t="shared" si="138"/>
        <v>0.6</v>
      </c>
      <c r="E595" s="22">
        <f t="shared" si="138"/>
        <v>922</v>
      </c>
      <c r="F595" s="22">
        <f t="shared" si="138"/>
        <v>20.2</v>
      </c>
      <c r="G595" s="65"/>
    </row>
    <row r="596" spans="1:30" x14ac:dyDescent="0.25">
      <c r="A596" s="198" t="s">
        <v>51</v>
      </c>
      <c r="B596" s="116" t="s">
        <v>449</v>
      </c>
      <c r="C596" s="284">
        <v>240</v>
      </c>
      <c r="D596" s="22">
        <f>'Функц. 2025-2027'!F210</f>
        <v>0.6</v>
      </c>
      <c r="E596" s="22">
        <f>'Функц. 2025-2027'!H210</f>
        <v>922</v>
      </c>
      <c r="F596" s="22">
        <f>'Функц. 2025-2027'!J210</f>
        <v>20.2</v>
      </c>
      <c r="G596" s="65"/>
    </row>
    <row r="597" spans="1:30" ht="31.5" x14ac:dyDescent="0.25">
      <c r="A597" s="262" t="s">
        <v>224</v>
      </c>
      <c r="B597" s="411" t="s">
        <v>225</v>
      </c>
      <c r="C597" s="398"/>
      <c r="D597" s="24">
        <f t="shared" ref="D597:AD597" si="139">D598+D604+D617+D622</f>
        <v>112466.20000000001</v>
      </c>
      <c r="E597" s="24">
        <f t="shared" si="139"/>
        <v>87021.4</v>
      </c>
      <c r="F597" s="24">
        <f t="shared" si="139"/>
        <v>96070.6</v>
      </c>
      <c r="G597" s="24">
        <f t="shared" si="139"/>
        <v>0</v>
      </c>
      <c r="H597" s="24">
        <f t="shared" si="139"/>
        <v>0</v>
      </c>
      <c r="I597" s="24">
        <f t="shared" si="139"/>
        <v>0</v>
      </c>
      <c r="J597" s="24">
        <f t="shared" si="139"/>
        <v>0</v>
      </c>
      <c r="K597" s="24">
        <f t="shared" si="139"/>
        <v>0</v>
      </c>
      <c r="L597" s="24">
        <f t="shared" si="139"/>
        <v>0</v>
      </c>
      <c r="M597" s="24">
        <f t="shared" si="139"/>
        <v>0</v>
      </c>
      <c r="N597" s="24">
        <f t="shared" si="139"/>
        <v>0</v>
      </c>
      <c r="O597" s="24">
        <f t="shared" si="139"/>
        <v>0</v>
      </c>
      <c r="P597" s="24">
        <f t="shared" si="139"/>
        <v>0</v>
      </c>
      <c r="Q597" s="24">
        <f t="shared" si="139"/>
        <v>0</v>
      </c>
      <c r="R597" s="24">
        <f t="shared" si="139"/>
        <v>0</v>
      </c>
      <c r="S597" s="24">
        <f t="shared" si="139"/>
        <v>0</v>
      </c>
      <c r="T597" s="24">
        <f t="shared" si="139"/>
        <v>0</v>
      </c>
      <c r="U597" s="24">
        <f t="shared" si="139"/>
        <v>0</v>
      </c>
      <c r="V597" s="24">
        <f t="shared" si="139"/>
        <v>0</v>
      </c>
      <c r="W597" s="24">
        <f t="shared" si="139"/>
        <v>0</v>
      </c>
      <c r="X597" s="24">
        <f t="shared" si="139"/>
        <v>0</v>
      </c>
      <c r="Y597" s="24">
        <f t="shared" si="139"/>
        <v>0</v>
      </c>
      <c r="Z597" s="24">
        <f t="shared" si="139"/>
        <v>0</v>
      </c>
      <c r="AA597" s="24">
        <f t="shared" si="139"/>
        <v>0</v>
      </c>
      <c r="AB597" s="24">
        <f t="shared" si="139"/>
        <v>0</v>
      </c>
      <c r="AC597" s="24">
        <f t="shared" si="139"/>
        <v>0</v>
      </c>
      <c r="AD597" s="24">
        <f t="shared" si="139"/>
        <v>0</v>
      </c>
    </row>
    <row r="598" spans="1:30" x14ac:dyDescent="0.25">
      <c r="A598" s="199" t="s">
        <v>226</v>
      </c>
      <c r="B598" s="116" t="s">
        <v>227</v>
      </c>
      <c r="C598" s="284"/>
      <c r="D598" s="22">
        <f t="shared" ref="D598:F600" si="140">D599</f>
        <v>0.79999999999999993</v>
      </c>
      <c r="E598" s="22">
        <f t="shared" si="140"/>
        <v>1.4000000000000001</v>
      </c>
      <c r="F598" s="22">
        <f t="shared" si="140"/>
        <v>0.6</v>
      </c>
      <c r="G598" s="65"/>
    </row>
    <row r="599" spans="1:30" x14ac:dyDescent="0.25">
      <c r="A599" s="200" t="s">
        <v>421</v>
      </c>
      <c r="B599" s="116" t="s">
        <v>334</v>
      </c>
      <c r="C599" s="284"/>
      <c r="D599" s="22">
        <f t="shared" si="140"/>
        <v>0.79999999999999993</v>
      </c>
      <c r="E599" s="22">
        <f t="shared" si="140"/>
        <v>1.4000000000000001</v>
      </c>
      <c r="F599" s="22">
        <f t="shared" si="140"/>
        <v>0.6</v>
      </c>
      <c r="G599" s="65"/>
    </row>
    <row r="600" spans="1:30" ht="47.25" x14ac:dyDescent="0.25">
      <c r="A600" s="200" t="s">
        <v>228</v>
      </c>
      <c r="B600" s="116" t="s">
        <v>335</v>
      </c>
      <c r="C600" s="284"/>
      <c r="D600" s="22">
        <f>D601</f>
        <v>0.79999999999999993</v>
      </c>
      <c r="E600" s="22">
        <f t="shared" si="140"/>
        <v>1.4000000000000001</v>
      </c>
      <c r="F600" s="22">
        <f t="shared" si="140"/>
        <v>0.6</v>
      </c>
      <c r="G600" s="65"/>
    </row>
    <row r="601" spans="1:30" ht="47.25" x14ac:dyDescent="0.25">
      <c r="A601" s="200" t="s">
        <v>317</v>
      </c>
      <c r="B601" s="116" t="s">
        <v>336</v>
      </c>
      <c r="C601" s="284"/>
      <c r="D601" s="22">
        <f t="shared" ref="D601:F602" si="141">D602</f>
        <v>0.79999999999999993</v>
      </c>
      <c r="E601" s="22">
        <f t="shared" si="141"/>
        <v>1.4000000000000001</v>
      </c>
      <c r="F601" s="22">
        <f t="shared" si="141"/>
        <v>0.6</v>
      </c>
      <c r="G601" s="65"/>
    </row>
    <row r="602" spans="1:30" x14ac:dyDescent="0.25">
      <c r="A602" s="198" t="s">
        <v>118</v>
      </c>
      <c r="B602" s="116" t="s">
        <v>336</v>
      </c>
      <c r="C602" s="284">
        <v>200</v>
      </c>
      <c r="D602" s="22">
        <f t="shared" si="141"/>
        <v>0.79999999999999993</v>
      </c>
      <c r="E602" s="22">
        <f t="shared" si="141"/>
        <v>1.4000000000000001</v>
      </c>
      <c r="F602" s="22">
        <f t="shared" si="141"/>
        <v>0.6</v>
      </c>
      <c r="G602" s="65"/>
    </row>
    <row r="603" spans="1:30" x14ac:dyDescent="0.25">
      <c r="A603" s="198" t="s">
        <v>51</v>
      </c>
      <c r="B603" s="116" t="s">
        <v>336</v>
      </c>
      <c r="C603" s="284">
        <v>240</v>
      </c>
      <c r="D603" s="22">
        <f>'Функц. 2025-2027'!F332</f>
        <v>0.79999999999999993</v>
      </c>
      <c r="E603" s="22">
        <f>'Функц. 2025-2027'!H332</f>
        <v>1.4000000000000001</v>
      </c>
      <c r="F603" s="22">
        <f>'Функц. 2025-2027'!J332</f>
        <v>0.6</v>
      </c>
      <c r="G603" s="65"/>
    </row>
    <row r="604" spans="1:30" x14ac:dyDescent="0.25">
      <c r="A604" s="199" t="s">
        <v>229</v>
      </c>
      <c r="B604" s="116" t="s">
        <v>230</v>
      </c>
      <c r="C604" s="284"/>
      <c r="D604" s="22">
        <f>D613+D605+D609</f>
        <v>34033.300000000003</v>
      </c>
      <c r="E604" s="22">
        <f>E613+E605+E609</f>
        <v>42065</v>
      </c>
      <c r="F604" s="22">
        <f>F613+F605+F609</f>
        <v>41464</v>
      </c>
      <c r="G604" s="65"/>
    </row>
    <row r="605" spans="1:30" ht="25.5" customHeight="1" x14ac:dyDescent="0.25">
      <c r="A605" s="299" t="s">
        <v>863</v>
      </c>
      <c r="B605" s="348" t="s">
        <v>862</v>
      </c>
      <c r="C605" s="297"/>
      <c r="D605" s="22">
        <f>D606</f>
        <v>12000</v>
      </c>
      <c r="E605" s="22">
        <f t="shared" ref="E605:F607" si="142">E606</f>
        <v>0</v>
      </c>
      <c r="F605" s="22">
        <f t="shared" si="142"/>
        <v>0</v>
      </c>
      <c r="G605" s="65"/>
    </row>
    <row r="606" spans="1:30" ht="31.5" x14ac:dyDescent="0.25">
      <c r="A606" s="299" t="s">
        <v>864</v>
      </c>
      <c r="B606" s="348" t="s">
        <v>865</v>
      </c>
      <c r="C606" s="297"/>
      <c r="D606" s="22">
        <f>D607</f>
        <v>12000</v>
      </c>
      <c r="E606" s="22">
        <f t="shared" si="142"/>
        <v>0</v>
      </c>
      <c r="F606" s="22">
        <f t="shared" si="142"/>
        <v>0</v>
      </c>
      <c r="G606" s="65"/>
    </row>
    <row r="607" spans="1:30" x14ac:dyDescent="0.25">
      <c r="A607" s="294" t="s">
        <v>118</v>
      </c>
      <c r="B607" s="348" t="s">
        <v>865</v>
      </c>
      <c r="C607" s="323">
        <v>200</v>
      </c>
      <c r="D607" s="22">
        <f>D608</f>
        <v>12000</v>
      </c>
      <c r="E607" s="22">
        <f t="shared" si="142"/>
        <v>0</v>
      </c>
      <c r="F607" s="22">
        <f t="shared" si="142"/>
        <v>0</v>
      </c>
      <c r="G607" s="65"/>
    </row>
    <row r="608" spans="1:30" x14ac:dyDescent="0.25">
      <c r="A608" s="294" t="s">
        <v>51</v>
      </c>
      <c r="B608" s="348" t="s">
        <v>865</v>
      </c>
      <c r="C608" s="297">
        <v>240</v>
      </c>
      <c r="D608" s="22">
        <f>'Функц. 2025-2027'!F340</f>
        <v>12000</v>
      </c>
      <c r="E608" s="22">
        <f>'Функц. 2025-2027'!H340</f>
        <v>0</v>
      </c>
      <c r="F608" s="22">
        <f>'Функц. 2025-2027'!J340</f>
        <v>0</v>
      </c>
      <c r="G608" s="65"/>
    </row>
    <row r="609" spans="1:7" x14ac:dyDescent="0.25">
      <c r="A609" s="294" t="s">
        <v>877</v>
      </c>
      <c r="B609" s="348" t="s">
        <v>879</v>
      </c>
      <c r="C609" s="297"/>
      <c r="D609" s="22">
        <f>D610</f>
        <v>0</v>
      </c>
      <c r="E609" s="22">
        <f t="shared" ref="E609:F611" si="143">E610</f>
        <v>2500</v>
      </c>
      <c r="F609" s="22">
        <f t="shared" si="143"/>
        <v>0</v>
      </c>
      <c r="G609" s="65"/>
    </row>
    <row r="610" spans="1:7" ht="31.5" x14ac:dyDescent="0.25">
      <c r="A610" s="294" t="s">
        <v>878</v>
      </c>
      <c r="B610" s="348" t="s">
        <v>880</v>
      </c>
      <c r="C610" s="297"/>
      <c r="D610" s="22">
        <f>D611</f>
        <v>0</v>
      </c>
      <c r="E610" s="22">
        <f t="shared" si="143"/>
        <v>2500</v>
      </c>
      <c r="F610" s="22">
        <f t="shared" si="143"/>
        <v>0</v>
      </c>
      <c r="G610" s="65"/>
    </row>
    <row r="611" spans="1:7" x14ac:dyDescent="0.25">
      <c r="A611" s="294" t="s">
        <v>118</v>
      </c>
      <c r="B611" s="348" t="s">
        <v>880</v>
      </c>
      <c r="C611" s="323">
        <v>200</v>
      </c>
      <c r="D611" s="22">
        <f>D612</f>
        <v>0</v>
      </c>
      <c r="E611" s="22">
        <f t="shared" si="143"/>
        <v>2500</v>
      </c>
      <c r="F611" s="22">
        <f t="shared" si="143"/>
        <v>0</v>
      </c>
      <c r="G611" s="65"/>
    </row>
    <row r="612" spans="1:7" x14ac:dyDescent="0.25">
      <c r="A612" s="294" t="s">
        <v>51</v>
      </c>
      <c r="B612" s="348" t="s">
        <v>880</v>
      </c>
      <c r="C612" s="297">
        <v>240</v>
      </c>
      <c r="D612" s="22">
        <f>'Функц. 2025-2027'!F344</f>
        <v>0</v>
      </c>
      <c r="E612" s="22">
        <f>'Функц. 2025-2027'!H344</f>
        <v>2500</v>
      </c>
      <c r="F612" s="22">
        <f>'Функц. 2025-2027'!J344</f>
        <v>0</v>
      </c>
      <c r="G612" s="65"/>
    </row>
    <row r="613" spans="1:7" ht="31.5" x14ac:dyDescent="0.25">
      <c r="A613" s="294" t="s">
        <v>699</v>
      </c>
      <c r="B613" s="409" t="s">
        <v>497</v>
      </c>
      <c r="C613" s="302"/>
      <c r="D613" s="22">
        <f t="shared" ref="D613:F614" si="144">D614</f>
        <v>22033.3</v>
      </c>
      <c r="E613" s="22">
        <f t="shared" si="144"/>
        <v>39565</v>
      </c>
      <c r="F613" s="22">
        <f t="shared" si="144"/>
        <v>41464</v>
      </c>
      <c r="G613" s="65"/>
    </row>
    <row r="614" spans="1:7" ht="31.5" x14ac:dyDescent="0.25">
      <c r="A614" s="294" t="s">
        <v>670</v>
      </c>
      <c r="B614" s="409" t="s">
        <v>698</v>
      </c>
      <c r="C614" s="302"/>
      <c r="D614" s="22">
        <f t="shared" si="144"/>
        <v>22033.3</v>
      </c>
      <c r="E614" s="22">
        <f t="shared" si="144"/>
        <v>39565</v>
      </c>
      <c r="F614" s="22">
        <f t="shared" si="144"/>
        <v>41464</v>
      </c>
      <c r="G614" s="65"/>
    </row>
    <row r="615" spans="1:7" x14ac:dyDescent="0.25">
      <c r="A615" s="294" t="s">
        <v>118</v>
      </c>
      <c r="B615" s="409" t="s">
        <v>698</v>
      </c>
      <c r="C615" s="302">
        <v>200</v>
      </c>
      <c r="D615" s="22">
        <f>'Функц. 2025-2027'!F347</f>
        <v>22033.3</v>
      </c>
      <c r="E615" s="22">
        <f>'Функц. 2025-2027'!H347</f>
        <v>39565</v>
      </c>
      <c r="F615" s="22">
        <f>'Функц. 2025-2027'!J347</f>
        <v>41464</v>
      </c>
      <c r="G615" s="65"/>
    </row>
    <row r="616" spans="1:7" x14ac:dyDescent="0.25">
      <c r="A616" s="294" t="s">
        <v>51</v>
      </c>
      <c r="B616" s="409" t="s">
        <v>698</v>
      </c>
      <c r="C616" s="302">
        <v>240</v>
      </c>
      <c r="D616" s="22">
        <f>'Функц. 2025-2027'!F348</f>
        <v>22033.3</v>
      </c>
      <c r="E616" s="22">
        <f>'Функц. 2025-2027'!H348</f>
        <v>39565</v>
      </c>
      <c r="F616" s="22">
        <f>'Функц. 2025-2027'!J348</f>
        <v>41464</v>
      </c>
      <c r="G616" s="65"/>
    </row>
    <row r="617" spans="1:7" x14ac:dyDescent="0.25">
      <c r="A617" s="307" t="s">
        <v>694</v>
      </c>
      <c r="B617" s="409" t="s">
        <v>693</v>
      </c>
      <c r="C617" s="302"/>
      <c r="D617" s="22">
        <f t="shared" ref="D617:F620" si="145">D618</f>
        <v>26286</v>
      </c>
      <c r="E617" s="22">
        <f t="shared" si="145"/>
        <v>8590</v>
      </c>
      <c r="F617" s="22">
        <f t="shared" si="145"/>
        <v>16750</v>
      </c>
      <c r="G617" s="65"/>
    </row>
    <row r="618" spans="1:7" x14ac:dyDescent="0.25">
      <c r="A618" s="294" t="s">
        <v>695</v>
      </c>
      <c r="B618" s="409" t="s">
        <v>696</v>
      </c>
      <c r="C618" s="302"/>
      <c r="D618" s="22">
        <f t="shared" si="145"/>
        <v>26286</v>
      </c>
      <c r="E618" s="22">
        <f t="shared" si="145"/>
        <v>8590</v>
      </c>
      <c r="F618" s="22">
        <f t="shared" si="145"/>
        <v>16750</v>
      </c>
      <c r="G618" s="65"/>
    </row>
    <row r="619" spans="1:7" x14ac:dyDescent="0.25">
      <c r="A619" s="294" t="s">
        <v>340</v>
      </c>
      <c r="B619" s="409" t="s">
        <v>697</v>
      </c>
      <c r="C619" s="302"/>
      <c r="D619" s="22">
        <f t="shared" si="145"/>
        <v>26286</v>
      </c>
      <c r="E619" s="22">
        <f t="shared" si="145"/>
        <v>8590</v>
      </c>
      <c r="F619" s="22">
        <f t="shared" si="145"/>
        <v>16750</v>
      </c>
      <c r="G619" s="65"/>
    </row>
    <row r="620" spans="1:7" x14ac:dyDescent="0.25">
      <c r="A620" s="294" t="s">
        <v>118</v>
      </c>
      <c r="B620" s="409" t="s">
        <v>697</v>
      </c>
      <c r="C620" s="302">
        <v>200</v>
      </c>
      <c r="D620" s="22">
        <f t="shared" si="145"/>
        <v>26286</v>
      </c>
      <c r="E620" s="22">
        <f t="shared" si="145"/>
        <v>8590</v>
      </c>
      <c r="F620" s="22">
        <f t="shared" si="145"/>
        <v>16750</v>
      </c>
      <c r="G620" s="65"/>
    </row>
    <row r="621" spans="1:7" x14ac:dyDescent="0.25">
      <c r="A621" s="294" t="s">
        <v>51</v>
      </c>
      <c r="B621" s="409" t="s">
        <v>697</v>
      </c>
      <c r="C621" s="302">
        <v>240</v>
      </c>
      <c r="D621" s="22">
        <f>'Функц. 2025-2027'!F353</f>
        <v>26286</v>
      </c>
      <c r="E621" s="22">
        <f>'Функц. 2025-2027'!H353</f>
        <v>8590</v>
      </c>
      <c r="F621" s="22">
        <f>'Функц. 2025-2027'!J353</f>
        <v>16750</v>
      </c>
      <c r="G621" s="65"/>
    </row>
    <row r="622" spans="1:7" x14ac:dyDescent="0.25">
      <c r="A622" s="199" t="s">
        <v>47</v>
      </c>
      <c r="B622" s="116" t="s">
        <v>337</v>
      </c>
      <c r="C622" s="271"/>
      <c r="D622" s="22">
        <f t="shared" ref="D622:F625" si="146">D623</f>
        <v>52146.1</v>
      </c>
      <c r="E622" s="22">
        <f t="shared" si="146"/>
        <v>36365</v>
      </c>
      <c r="F622" s="22">
        <f t="shared" si="146"/>
        <v>37856</v>
      </c>
      <c r="G622" s="65"/>
    </row>
    <row r="623" spans="1:7" ht="31.5" x14ac:dyDescent="0.25">
      <c r="A623" s="199" t="s">
        <v>189</v>
      </c>
      <c r="B623" s="116" t="s">
        <v>338</v>
      </c>
      <c r="C623" s="284"/>
      <c r="D623" s="22">
        <f t="shared" si="146"/>
        <v>52146.1</v>
      </c>
      <c r="E623" s="22">
        <f t="shared" si="146"/>
        <v>36365</v>
      </c>
      <c r="F623" s="22">
        <f t="shared" si="146"/>
        <v>37856</v>
      </c>
      <c r="G623" s="65"/>
    </row>
    <row r="624" spans="1:7" ht="31.5" x14ac:dyDescent="0.25">
      <c r="A624" s="307" t="s">
        <v>691</v>
      </c>
      <c r="B624" s="409" t="s">
        <v>690</v>
      </c>
      <c r="C624" s="284"/>
      <c r="D624" s="22">
        <f t="shared" si="146"/>
        <v>52146.1</v>
      </c>
      <c r="E624" s="22">
        <f t="shared" si="146"/>
        <v>36365</v>
      </c>
      <c r="F624" s="22">
        <f t="shared" si="146"/>
        <v>37856</v>
      </c>
      <c r="G624" s="65"/>
    </row>
    <row r="625" spans="1:30" ht="31.5" x14ac:dyDescent="0.25">
      <c r="A625" s="259" t="s">
        <v>59</v>
      </c>
      <c r="B625" s="409" t="s">
        <v>690</v>
      </c>
      <c r="C625" s="284">
        <v>600</v>
      </c>
      <c r="D625" s="22">
        <f t="shared" si="146"/>
        <v>52146.1</v>
      </c>
      <c r="E625" s="22">
        <f t="shared" si="146"/>
        <v>36365</v>
      </c>
      <c r="F625" s="22">
        <f t="shared" si="146"/>
        <v>37856</v>
      </c>
      <c r="G625" s="65"/>
    </row>
    <row r="626" spans="1:30" x14ac:dyDescent="0.25">
      <c r="A626" s="259" t="s">
        <v>60</v>
      </c>
      <c r="B626" s="409" t="s">
        <v>690</v>
      </c>
      <c r="C626" s="284">
        <v>610</v>
      </c>
      <c r="D626" s="22">
        <f>'Функц. 2025-2027'!F358</f>
        <v>52146.1</v>
      </c>
      <c r="E626" s="22">
        <f>'Функц. 2025-2027'!H358</f>
        <v>36365</v>
      </c>
      <c r="F626" s="22">
        <f>'Функц. 2025-2027'!J358</f>
        <v>37856</v>
      </c>
      <c r="G626" s="65"/>
    </row>
    <row r="627" spans="1:30" x14ac:dyDescent="0.25">
      <c r="A627" s="262" t="s">
        <v>231</v>
      </c>
      <c r="B627" s="411" t="s">
        <v>232</v>
      </c>
      <c r="C627" s="398"/>
      <c r="D627" s="24">
        <f>D628+D641</f>
        <v>61171</v>
      </c>
      <c r="E627" s="24">
        <f>E628+E641</f>
        <v>55636</v>
      </c>
      <c r="F627" s="24">
        <f>F628+F641</f>
        <v>53039</v>
      </c>
      <c r="G627" s="65"/>
    </row>
    <row r="628" spans="1:30" ht="31.5" x14ac:dyDescent="0.25">
      <c r="A628" s="199" t="s">
        <v>234</v>
      </c>
      <c r="B628" s="116" t="s">
        <v>235</v>
      </c>
      <c r="C628" s="402"/>
      <c r="D628" s="22">
        <f>D629+D637+D633</f>
        <v>3822</v>
      </c>
      <c r="E628" s="22">
        <f t="shared" ref="E628:AD628" si="147">E629+E637+E633</f>
        <v>3003</v>
      </c>
      <c r="F628" s="22">
        <f t="shared" si="147"/>
        <v>0</v>
      </c>
      <c r="G628" s="22">
        <f t="shared" si="147"/>
        <v>0</v>
      </c>
      <c r="H628" s="22">
        <f t="shared" si="147"/>
        <v>0</v>
      </c>
      <c r="I628" s="22">
        <f t="shared" si="147"/>
        <v>0</v>
      </c>
      <c r="J628" s="22">
        <f t="shared" si="147"/>
        <v>0</v>
      </c>
      <c r="K628" s="22">
        <f t="shared" si="147"/>
        <v>0</v>
      </c>
      <c r="L628" s="22">
        <f t="shared" si="147"/>
        <v>0</v>
      </c>
      <c r="M628" s="22">
        <f t="shared" si="147"/>
        <v>0</v>
      </c>
      <c r="N628" s="22">
        <f t="shared" si="147"/>
        <v>0</v>
      </c>
      <c r="O628" s="22">
        <f t="shared" si="147"/>
        <v>0</v>
      </c>
      <c r="P628" s="22">
        <f t="shared" si="147"/>
        <v>0</v>
      </c>
      <c r="Q628" s="22">
        <f t="shared" si="147"/>
        <v>0</v>
      </c>
      <c r="R628" s="22">
        <f t="shared" si="147"/>
        <v>0</v>
      </c>
      <c r="S628" s="22">
        <f t="shared" si="147"/>
        <v>0</v>
      </c>
      <c r="T628" s="22">
        <f t="shared" si="147"/>
        <v>0</v>
      </c>
      <c r="U628" s="22">
        <f t="shared" si="147"/>
        <v>0</v>
      </c>
      <c r="V628" s="22">
        <f t="shared" si="147"/>
        <v>0</v>
      </c>
      <c r="W628" s="22">
        <f t="shared" si="147"/>
        <v>0</v>
      </c>
      <c r="X628" s="22">
        <f t="shared" si="147"/>
        <v>0</v>
      </c>
      <c r="Y628" s="22">
        <f t="shared" si="147"/>
        <v>0</v>
      </c>
      <c r="Z628" s="22">
        <f t="shared" si="147"/>
        <v>0</v>
      </c>
      <c r="AA628" s="22">
        <f t="shared" si="147"/>
        <v>0</v>
      </c>
      <c r="AB628" s="22">
        <f t="shared" si="147"/>
        <v>0</v>
      </c>
      <c r="AC628" s="22">
        <f t="shared" si="147"/>
        <v>0</v>
      </c>
      <c r="AD628" s="22">
        <f t="shared" si="147"/>
        <v>0</v>
      </c>
    </row>
    <row r="629" spans="1:30" x14ac:dyDescent="0.25">
      <c r="A629" s="185" t="s">
        <v>367</v>
      </c>
      <c r="B629" s="116" t="s">
        <v>368</v>
      </c>
      <c r="C629" s="402"/>
      <c r="D629" s="22">
        <f t="shared" ref="D629:F631" si="148">D630</f>
        <v>3172</v>
      </c>
      <c r="E629" s="22">
        <f t="shared" si="148"/>
        <v>2593</v>
      </c>
      <c r="F629" s="22">
        <f t="shared" si="148"/>
        <v>0</v>
      </c>
      <c r="G629" s="65"/>
    </row>
    <row r="630" spans="1:30" x14ac:dyDescent="0.25">
      <c r="A630" s="184" t="s">
        <v>369</v>
      </c>
      <c r="B630" s="116" t="s">
        <v>370</v>
      </c>
      <c r="C630" s="391"/>
      <c r="D630" s="22">
        <f t="shared" si="148"/>
        <v>3172</v>
      </c>
      <c r="E630" s="22">
        <f t="shared" si="148"/>
        <v>2593</v>
      </c>
      <c r="F630" s="22">
        <f t="shared" si="148"/>
        <v>0</v>
      </c>
      <c r="G630" s="65"/>
    </row>
    <row r="631" spans="1:30" x14ac:dyDescent="0.25">
      <c r="A631" s="255" t="s">
        <v>118</v>
      </c>
      <c r="B631" s="116" t="s">
        <v>370</v>
      </c>
      <c r="C631" s="284">
        <v>200</v>
      </c>
      <c r="D631" s="22">
        <f t="shared" si="148"/>
        <v>3172</v>
      </c>
      <c r="E631" s="22">
        <f t="shared" si="148"/>
        <v>2593</v>
      </c>
      <c r="F631" s="22">
        <f t="shared" si="148"/>
        <v>0</v>
      </c>
      <c r="G631" s="65"/>
    </row>
    <row r="632" spans="1:30" x14ac:dyDescent="0.25">
      <c r="A632" s="255" t="s">
        <v>51</v>
      </c>
      <c r="B632" s="116" t="s">
        <v>370</v>
      </c>
      <c r="C632" s="284">
        <v>240</v>
      </c>
      <c r="D632" s="22">
        <f>'Функц. 2025-2027'!F371</f>
        <v>3172</v>
      </c>
      <c r="E632" s="22">
        <f>'Функц. 2025-2027'!H371</f>
        <v>2593</v>
      </c>
      <c r="F632" s="22">
        <f>'Функц. 2025-2027'!J371</f>
        <v>0</v>
      </c>
      <c r="G632" s="65"/>
    </row>
    <row r="633" spans="1:30" x14ac:dyDescent="0.25">
      <c r="A633" s="185" t="s">
        <v>385</v>
      </c>
      <c r="B633" s="116" t="s">
        <v>386</v>
      </c>
      <c r="C633" s="284"/>
      <c r="D633" s="22">
        <f t="shared" ref="D633:F635" si="149">D634</f>
        <v>350</v>
      </c>
      <c r="E633" s="22">
        <f t="shared" si="149"/>
        <v>110</v>
      </c>
      <c r="F633" s="22">
        <f t="shared" si="149"/>
        <v>0</v>
      </c>
      <c r="G633" s="65"/>
    </row>
    <row r="634" spans="1:30" x14ac:dyDescent="0.25">
      <c r="A634" s="184" t="s">
        <v>387</v>
      </c>
      <c r="B634" s="116" t="s">
        <v>388</v>
      </c>
      <c r="C634" s="284"/>
      <c r="D634" s="22">
        <f t="shared" si="149"/>
        <v>350</v>
      </c>
      <c r="E634" s="22">
        <f t="shared" si="149"/>
        <v>110</v>
      </c>
      <c r="F634" s="22">
        <f t="shared" si="149"/>
        <v>0</v>
      </c>
      <c r="G634" s="65"/>
    </row>
    <row r="635" spans="1:30" x14ac:dyDescent="0.25">
      <c r="A635" s="255" t="s">
        <v>118</v>
      </c>
      <c r="B635" s="116" t="s">
        <v>388</v>
      </c>
      <c r="C635" s="284">
        <v>200</v>
      </c>
      <c r="D635" s="22">
        <f t="shared" si="149"/>
        <v>350</v>
      </c>
      <c r="E635" s="22">
        <f t="shared" si="149"/>
        <v>110</v>
      </c>
      <c r="F635" s="22">
        <f t="shared" si="149"/>
        <v>0</v>
      </c>
      <c r="G635" s="65"/>
    </row>
    <row r="636" spans="1:30" x14ac:dyDescent="0.25">
      <c r="A636" s="255" t="s">
        <v>51</v>
      </c>
      <c r="B636" s="116" t="s">
        <v>388</v>
      </c>
      <c r="C636" s="284">
        <v>240</v>
      </c>
      <c r="D636" s="22">
        <f>'Функц. 2025-2027'!F375</f>
        <v>350</v>
      </c>
      <c r="E636" s="22">
        <f>'Функц. 2025-2027'!H375</f>
        <v>110</v>
      </c>
      <c r="F636" s="22">
        <f>'Функц. 2025-2027'!J375</f>
        <v>0</v>
      </c>
      <c r="G636" s="65"/>
    </row>
    <row r="637" spans="1:30" x14ac:dyDescent="0.25">
      <c r="A637" s="185" t="s">
        <v>371</v>
      </c>
      <c r="B637" s="116" t="s">
        <v>372</v>
      </c>
      <c r="C637" s="284"/>
      <c r="D637" s="22">
        <f t="shared" ref="D637:F639" si="150">D638</f>
        <v>300</v>
      </c>
      <c r="E637" s="22">
        <f t="shared" si="150"/>
        <v>300</v>
      </c>
      <c r="F637" s="22">
        <f t="shared" si="150"/>
        <v>0</v>
      </c>
      <c r="G637" s="65"/>
    </row>
    <row r="638" spans="1:30" x14ac:dyDescent="0.25">
      <c r="A638" s="184" t="s">
        <v>373</v>
      </c>
      <c r="B638" s="116" t="s">
        <v>374</v>
      </c>
      <c r="C638" s="284"/>
      <c r="D638" s="22">
        <f t="shared" si="150"/>
        <v>300</v>
      </c>
      <c r="E638" s="22">
        <f t="shared" si="150"/>
        <v>300</v>
      </c>
      <c r="F638" s="22">
        <f t="shared" si="150"/>
        <v>0</v>
      </c>
      <c r="G638" s="65"/>
    </row>
    <row r="639" spans="1:30" x14ac:dyDescent="0.25">
      <c r="A639" s="255" t="s">
        <v>118</v>
      </c>
      <c r="B639" s="116" t="s">
        <v>374</v>
      </c>
      <c r="C639" s="284">
        <v>200</v>
      </c>
      <c r="D639" s="22">
        <f t="shared" si="150"/>
        <v>300</v>
      </c>
      <c r="E639" s="22">
        <f t="shared" si="150"/>
        <v>300</v>
      </c>
      <c r="F639" s="22">
        <f t="shared" si="150"/>
        <v>0</v>
      </c>
      <c r="G639" s="65"/>
    </row>
    <row r="640" spans="1:30" x14ac:dyDescent="0.25">
      <c r="A640" s="255" t="s">
        <v>51</v>
      </c>
      <c r="B640" s="116" t="s">
        <v>374</v>
      </c>
      <c r="C640" s="284">
        <v>240</v>
      </c>
      <c r="D640" s="22">
        <f>'Функц. 2025-2027'!F379</f>
        <v>300</v>
      </c>
      <c r="E640" s="22">
        <f>'Функц. 2025-2027'!H379</f>
        <v>300</v>
      </c>
      <c r="F640" s="22">
        <f>'Функц. 2025-2027'!J379</f>
        <v>0</v>
      </c>
      <c r="G640" s="65"/>
    </row>
    <row r="641" spans="1:30" x14ac:dyDescent="0.25">
      <c r="A641" s="255" t="s">
        <v>47</v>
      </c>
      <c r="B641" s="116" t="s">
        <v>532</v>
      </c>
      <c r="C641" s="271"/>
      <c r="D641" s="22">
        <f t="shared" ref="D641:F644" si="151">D642</f>
        <v>57349</v>
      </c>
      <c r="E641" s="22">
        <f t="shared" si="151"/>
        <v>52633</v>
      </c>
      <c r="F641" s="22">
        <f t="shared" si="151"/>
        <v>53039</v>
      </c>
      <c r="G641" s="65"/>
    </row>
    <row r="642" spans="1:30" ht="31.5" x14ac:dyDescent="0.25">
      <c r="A642" s="255" t="s">
        <v>323</v>
      </c>
      <c r="B642" s="116" t="s">
        <v>533</v>
      </c>
      <c r="C642" s="271"/>
      <c r="D642" s="22">
        <f t="shared" si="151"/>
        <v>57349</v>
      </c>
      <c r="E642" s="22">
        <f t="shared" si="151"/>
        <v>52633</v>
      </c>
      <c r="F642" s="22">
        <f t="shared" si="151"/>
        <v>53039</v>
      </c>
      <c r="G642" s="65"/>
    </row>
    <row r="643" spans="1:30" ht="31.5" x14ac:dyDescent="0.25">
      <c r="A643" s="255" t="s">
        <v>233</v>
      </c>
      <c r="B643" s="116" t="s">
        <v>534</v>
      </c>
      <c r="C643" s="271"/>
      <c r="D643" s="22">
        <f t="shared" si="151"/>
        <v>57349</v>
      </c>
      <c r="E643" s="22">
        <f t="shared" si="151"/>
        <v>52633</v>
      </c>
      <c r="F643" s="22">
        <f t="shared" si="151"/>
        <v>53039</v>
      </c>
      <c r="G643" s="65"/>
    </row>
    <row r="644" spans="1:30" ht="31.5" x14ac:dyDescent="0.25">
      <c r="A644" s="255" t="s">
        <v>59</v>
      </c>
      <c r="B644" s="116" t="s">
        <v>534</v>
      </c>
      <c r="C644" s="271">
        <v>600</v>
      </c>
      <c r="D644" s="22">
        <f t="shared" si="151"/>
        <v>57349</v>
      </c>
      <c r="E644" s="22">
        <f t="shared" si="151"/>
        <v>52633</v>
      </c>
      <c r="F644" s="22">
        <f t="shared" si="151"/>
        <v>53039</v>
      </c>
      <c r="G644" s="65"/>
    </row>
    <row r="645" spans="1:30" s="4" customFormat="1" x14ac:dyDescent="0.25">
      <c r="A645" s="255" t="s">
        <v>60</v>
      </c>
      <c r="B645" s="116" t="s">
        <v>534</v>
      </c>
      <c r="C645" s="271">
        <v>610</v>
      </c>
      <c r="D645" s="22">
        <f>'Функц. 2025-2027'!F216</f>
        <v>57349</v>
      </c>
      <c r="E645" s="22">
        <f>'Функц. 2025-2027'!H216</f>
        <v>52633</v>
      </c>
      <c r="F645" s="22">
        <f>'Функц. 2025-2027'!J216</f>
        <v>53039</v>
      </c>
      <c r="G645" s="209"/>
    </row>
    <row r="646" spans="1:30" x14ac:dyDescent="0.25">
      <c r="A646" s="263" t="s">
        <v>247</v>
      </c>
      <c r="B646" s="411" t="s">
        <v>248</v>
      </c>
      <c r="C646" s="398"/>
      <c r="D646" s="24">
        <f t="shared" ref="D646:F647" si="152">D647</f>
        <v>0</v>
      </c>
      <c r="E646" s="24">
        <f t="shared" si="152"/>
        <v>210</v>
      </c>
      <c r="F646" s="24">
        <f t="shared" si="152"/>
        <v>0</v>
      </c>
      <c r="G646" s="65"/>
    </row>
    <row r="647" spans="1:30" ht="31.5" x14ac:dyDescent="0.25">
      <c r="A647" s="196" t="s">
        <v>759</v>
      </c>
      <c r="B647" s="116" t="s">
        <v>249</v>
      </c>
      <c r="C647" s="271"/>
      <c r="D647" s="22">
        <f t="shared" si="152"/>
        <v>0</v>
      </c>
      <c r="E647" s="22">
        <f t="shared" si="152"/>
        <v>210</v>
      </c>
      <c r="F647" s="22">
        <f t="shared" si="152"/>
        <v>0</v>
      </c>
      <c r="G647" s="65"/>
    </row>
    <row r="648" spans="1:30" ht="39" customHeight="1" x14ac:dyDescent="0.25">
      <c r="A648" s="196" t="s">
        <v>772</v>
      </c>
      <c r="B648" s="116" t="s">
        <v>607</v>
      </c>
      <c r="C648" s="284"/>
      <c r="D648" s="22">
        <f t="shared" ref="D648:F649" si="153">D649</f>
        <v>0</v>
      </c>
      <c r="E648" s="22">
        <f t="shared" si="153"/>
        <v>210</v>
      </c>
      <c r="F648" s="22">
        <f t="shared" si="153"/>
        <v>0</v>
      </c>
      <c r="G648" s="65"/>
    </row>
    <row r="649" spans="1:30" ht="31.5" x14ac:dyDescent="0.25">
      <c r="A649" s="182" t="s">
        <v>609</v>
      </c>
      <c r="B649" s="116" t="s">
        <v>608</v>
      </c>
      <c r="C649" s="284"/>
      <c r="D649" s="22">
        <f>D650</f>
        <v>0</v>
      </c>
      <c r="E649" s="22">
        <f t="shared" si="153"/>
        <v>210</v>
      </c>
      <c r="F649" s="22">
        <f t="shared" si="153"/>
        <v>0</v>
      </c>
      <c r="G649" s="65"/>
    </row>
    <row r="650" spans="1:30" x14ac:dyDescent="0.25">
      <c r="A650" s="198" t="s">
        <v>118</v>
      </c>
      <c r="B650" s="116" t="s">
        <v>608</v>
      </c>
      <c r="C650" s="284">
        <v>200</v>
      </c>
      <c r="D650" s="22">
        <f>D651</f>
        <v>0</v>
      </c>
      <c r="E650" s="22">
        <f>E651</f>
        <v>210</v>
      </c>
      <c r="F650" s="22">
        <f>F651</f>
        <v>0</v>
      </c>
      <c r="G650" s="65"/>
    </row>
    <row r="651" spans="1:30" x14ac:dyDescent="0.25">
      <c r="A651" s="198" t="s">
        <v>51</v>
      </c>
      <c r="B651" s="116" t="s">
        <v>608</v>
      </c>
      <c r="C651" s="284">
        <v>240</v>
      </c>
      <c r="D651" s="22">
        <f>'Функц. 2025-2027'!F514</f>
        <v>0</v>
      </c>
      <c r="E651" s="22">
        <f>'Функц. 2025-2027'!H514</f>
        <v>210</v>
      </c>
      <c r="F651" s="22">
        <f>'Функц. 2025-2027'!J514</f>
        <v>0</v>
      </c>
      <c r="G651" s="65"/>
    </row>
    <row r="652" spans="1:30" x14ac:dyDescent="0.25">
      <c r="A652" s="262" t="s">
        <v>240</v>
      </c>
      <c r="B652" s="411" t="s">
        <v>241</v>
      </c>
      <c r="C652" s="338"/>
      <c r="D652" s="24">
        <f>D679+D731+D653</f>
        <v>932470.3</v>
      </c>
      <c r="E652" s="24">
        <f>E679+E731+E653</f>
        <v>468351.89999999997</v>
      </c>
      <c r="F652" s="24">
        <f>F679+F731+F653</f>
        <v>747059.10000000009</v>
      </c>
      <c r="G652" s="65"/>
    </row>
    <row r="653" spans="1:30" x14ac:dyDescent="0.25">
      <c r="A653" s="185" t="s">
        <v>365</v>
      </c>
      <c r="B653" s="116" t="s">
        <v>366</v>
      </c>
      <c r="C653" s="338"/>
      <c r="D653" s="22">
        <f>D654+D669</f>
        <v>449806.2</v>
      </c>
      <c r="E653" s="22">
        <f>E654+E669</f>
        <v>16969.400000000001</v>
      </c>
      <c r="F653" s="22">
        <f>F654+F669</f>
        <v>242420</v>
      </c>
      <c r="G653" s="65"/>
    </row>
    <row r="654" spans="1:30" ht="31.5" x14ac:dyDescent="0.25">
      <c r="A654" s="185" t="s">
        <v>389</v>
      </c>
      <c r="B654" s="116" t="s">
        <v>390</v>
      </c>
      <c r="C654" s="285"/>
      <c r="D654" s="22">
        <f>D664+D661+D655+D658</f>
        <v>277992.7</v>
      </c>
      <c r="E654" s="22">
        <f t="shared" ref="E654:AD654" si="154">E664+E661+E655+E658</f>
        <v>0</v>
      </c>
      <c r="F654" s="22">
        <f t="shared" si="154"/>
        <v>0</v>
      </c>
      <c r="G654" s="22">
        <f t="shared" si="154"/>
        <v>0</v>
      </c>
      <c r="H654" s="22">
        <f t="shared" si="154"/>
        <v>0</v>
      </c>
      <c r="I654" s="22">
        <f t="shared" si="154"/>
        <v>0</v>
      </c>
      <c r="J654" s="22">
        <f t="shared" si="154"/>
        <v>0</v>
      </c>
      <c r="K654" s="22">
        <f t="shared" si="154"/>
        <v>0</v>
      </c>
      <c r="L654" s="22">
        <f t="shared" si="154"/>
        <v>0</v>
      </c>
      <c r="M654" s="22">
        <f t="shared" si="154"/>
        <v>0</v>
      </c>
      <c r="N654" s="22">
        <f t="shared" si="154"/>
        <v>0</v>
      </c>
      <c r="O654" s="22">
        <f t="shared" si="154"/>
        <v>0</v>
      </c>
      <c r="P654" s="22">
        <f t="shared" si="154"/>
        <v>0</v>
      </c>
      <c r="Q654" s="22">
        <f t="shared" si="154"/>
        <v>0</v>
      </c>
      <c r="R654" s="22">
        <f t="shared" si="154"/>
        <v>0</v>
      </c>
      <c r="S654" s="22">
        <f t="shared" si="154"/>
        <v>0</v>
      </c>
      <c r="T654" s="22">
        <f t="shared" si="154"/>
        <v>0</v>
      </c>
      <c r="U654" s="22">
        <f t="shared" si="154"/>
        <v>0</v>
      </c>
      <c r="V654" s="22">
        <f t="shared" si="154"/>
        <v>0</v>
      </c>
      <c r="W654" s="22">
        <f t="shared" si="154"/>
        <v>0</v>
      </c>
      <c r="X654" s="22">
        <f t="shared" si="154"/>
        <v>0</v>
      </c>
      <c r="Y654" s="22">
        <f t="shared" si="154"/>
        <v>0</v>
      </c>
      <c r="Z654" s="22">
        <f t="shared" si="154"/>
        <v>0</v>
      </c>
      <c r="AA654" s="22">
        <f t="shared" si="154"/>
        <v>0</v>
      </c>
      <c r="AB654" s="22">
        <f t="shared" si="154"/>
        <v>0</v>
      </c>
      <c r="AC654" s="22">
        <f t="shared" si="154"/>
        <v>0</v>
      </c>
      <c r="AD654" s="22">
        <f t="shared" si="154"/>
        <v>0</v>
      </c>
    </row>
    <row r="655" spans="1:30" ht="31.5" x14ac:dyDescent="0.25">
      <c r="A655" s="299" t="s">
        <v>793</v>
      </c>
      <c r="B655" s="348" t="s">
        <v>794</v>
      </c>
      <c r="C655" s="314"/>
      <c r="D655" s="22">
        <f t="shared" ref="D655:F656" si="155">D656</f>
        <v>487</v>
      </c>
      <c r="E655" s="22">
        <f t="shared" si="155"/>
        <v>0</v>
      </c>
      <c r="F655" s="22">
        <f t="shared" si="155"/>
        <v>0</v>
      </c>
      <c r="G655" s="65"/>
    </row>
    <row r="656" spans="1:30" x14ac:dyDescent="0.25">
      <c r="A656" s="294" t="s">
        <v>118</v>
      </c>
      <c r="B656" s="348" t="s">
        <v>794</v>
      </c>
      <c r="C656" s="314" t="s">
        <v>36</v>
      </c>
      <c r="D656" s="22">
        <f t="shared" si="155"/>
        <v>487</v>
      </c>
      <c r="E656" s="22">
        <f t="shared" si="155"/>
        <v>0</v>
      </c>
      <c r="F656" s="22">
        <f t="shared" si="155"/>
        <v>0</v>
      </c>
      <c r="G656" s="22">
        <f t="shared" ref="G656:AD656" si="156">G657</f>
        <v>0</v>
      </c>
      <c r="H656" s="22">
        <f t="shared" si="156"/>
        <v>0</v>
      </c>
      <c r="I656" s="22">
        <f t="shared" si="156"/>
        <v>0</v>
      </c>
      <c r="J656" s="22">
        <f t="shared" si="156"/>
        <v>0</v>
      </c>
      <c r="K656" s="22">
        <f t="shared" si="156"/>
        <v>0</v>
      </c>
      <c r="L656" s="22">
        <f t="shared" si="156"/>
        <v>0</v>
      </c>
      <c r="M656" s="22">
        <f t="shared" si="156"/>
        <v>0</v>
      </c>
      <c r="N656" s="22">
        <f t="shared" si="156"/>
        <v>0</v>
      </c>
      <c r="O656" s="22">
        <f t="shared" si="156"/>
        <v>0</v>
      </c>
      <c r="P656" s="22">
        <f t="shared" si="156"/>
        <v>0</v>
      </c>
      <c r="Q656" s="22">
        <f t="shared" si="156"/>
        <v>0</v>
      </c>
      <c r="R656" s="22">
        <f t="shared" si="156"/>
        <v>0</v>
      </c>
      <c r="S656" s="22">
        <f t="shared" si="156"/>
        <v>0</v>
      </c>
      <c r="T656" s="22">
        <f t="shared" si="156"/>
        <v>0</v>
      </c>
      <c r="U656" s="22">
        <f t="shared" si="156"/>
        <v>0</v>
      </c>
      <c r="V656" s="22">
        <f t="shared" si="156"/>
        <v>0</v>
      </c>
      <c r="W656" s="22">
        <f t="shared" si="156"/>
        <v>0</v>
      </c>
      <c r="X656" s="22">
        <f t="shared" si="156"/>
        <v>0</v>
      </c>
      <c r="Y656" s="22">
        <f t="shared" si="156"/>
        <v>0</v>
      </c>
      <c r="Z656" s="22">
        <f t="shared" si="156"/>
        <v>0</v>
      </c>
      <c r="AA656" s="22">
        <f t="shared" si="156"/>
        <v>0</v>
      </c>
      <c r="AB656" s="22">
        <f t="shared" si="156"/>
        <v>0</v>
      </c>
      <c r="AC656" s="22">
        <f t="shared" si="156"/>
        <v>0</v>
      </c>
      <c r="AD656" s="22">
        <f t="shared" si="156"/>
        <v>0</v>
      </c>
    </row>
    <row r="657" spans="1:30" x14ac:dyDescent="0.25">
      <c r="A657" s="294" t="s">
        <v>51</v>
      </c>
      <c r="B657" s="348" t="s">
        <v>794</v>
      </c>
      <c r="C657" s="314" t="s">
        <v>64</v>
      </c>
      <c r="D657" s="22">
        <f>'Функц. 2025-2027'!F520</f>
        <v>487</v>
      </c>
      <c r="E657" s="22">
        <f>'Функц. 2025-2027'!H520</f>
        <v>0</v>
      </c>
      <c r="F657" s="22">
        <f>'Функц. 2025-2027'!J520</f>
        <v>0</v>
      </c>
      <c r="G657" s="65"/>
    </row>
    <row r="658" spans="1:30" x14ac:dyDescent="0.25">
      <c r="A658" s="294" t="s">
        <v>813</v>
      </c>
      <c r="B658" s="348" t="s">
        <v>814</v>
      </c>
      <c r="C658" s="297"/>
      <c r="D658" s="22">
        <f t="shared" ref="D658:F659" si="157">D659</f>
        <v>14734.3</v>
      </c>
      <c r="E658" s="22">
        <f t="shared" si="157"/>
        <v>0</v>
      </c>
      <c r="F658" s="22">
        <f t="shared" si="157"/>
        <v>0</v>
      </c>
      <c r="G658" s="65"/>
    </row>
    <row r="659" spans="1:30" x14ac:dyDescent="0.25">
      <c r="A659" s="294" t="s">
        <v>118</v>
      </c>
      <c r="B659" s="348" t="s">
        <v>814</v>
      </c>
      <c r="C659" s="323">
        <v>200</v>
      </c>
      <c r="D659" s="22">
        <f t="shared" si="157"/>
        <v>14734.3</v>
      </c>
      <c r="E659" s="22">
        <f t="shared" si="157"/>
        <v>0</v>
      </c>
      <c r="F659" s="22">
        <f t="shared" si="157"/>
        <v>0</v>
      </c>
      <c r="G659" s="65"/>
    </row>
    <row r="660" spans="1:30" x14ac:dyDescent="0.25">
      <c r="A660" s="294" t="s">
        <v>51</v>
      </c>
      <c r="B660" s="348" t="s">
        <v>814</v>
      </c>
      <c r="C660" s="297">
        <v>240</v>
      </c>
      <c r="D660" s="22">
        <f>'Функц. 2025-2027'!F523</f>
        <v>14734.3</v>
      </c>
      <c r="E660" s="22">
        <f>'Функц. 2025-2027'!H522</f>
        <v>0</v>
      </c>
      <c r="F660" s="22">
        <f>'Функц. 2025-2027'!J523</f>
        <v>0</v>
      </c>
      <c r="G660" s="65"/>
    </row>
    <row r="661" spans="1:30" x14ac:dyDescent="0.25">
      <c r="A661" s="294" t="s">
        <v>738</v>
      </c>
      <c r="B661" s="409" t="s">
        <v>739</v>
      </c>
      <c r="C661" s="309"/>
      <c r="D661" s="22">
        <f>D662</f>
        <v>30471.4</v>
      </c>
      <c r="E661" s="22">
        <f t="shared" ref="E661:AD662" si="158">E662</f>
        <v>0</v>
      </c>
      <c r="F661" s="22">
        <f t="shared" si="158"/>
        <v>0</v>
      </c>
      <c r="G661" s="22">
        <f t="shared" si="158"/>
        <v>0</v>
      </c>
      <c r="H661" s="22">
        <f t="shared" si="158"/>
        <v>0</v>
      </c>
      <c r="I661" s="22">
        <f t="shared" si="158"/>
        <v>0</v>
      </c>
      <c r="J661" s="22">
        <f t="shared" si="158"/>
        <v>0</v>
      </c>
      <c r="K661" s="22">
        <f t="shared" si="158"/>
        <v>0</v>
      </c>
      <c r="L661" s="22">
        <f t="shared" si="158"/>
        <v>0</v>
      </c>
      <c r="M661" s="22">
        <f t="shared" si="158"/>
        <v>0</v>
      </c>
      <c r="N661" s="22">
        <f t="shared" si="158"/>
        <v>0</v>
      </c>
      <c r="O661" s="22">
        <f t="shared" si="158"/>
        <v>0</v>
      </c>
      <c r="P661" s="22">
        <f t="shared" si="158"/>
        <v>0</v>
      </c>
      <c r="Q661" s="22">
        <f t="shared" si="158"/>
        <v>0</v>
      </c>
      <c r="R661" s="22">
        <f t="shared" si="158"/>
        <v>0</v>
      </c>
      <c r="S661" s="22">
        <f t="shared" si="158"/>
        <v>0</v>
      </c>
      <c r="T661" s="22">
        <f t="shared" si="158"/>
        <v>0</v>
      </c>
      <c r="U661" s="22">
        <f t="shared" si="158"/>
        <v>0</v>
      </c>
      <c r="V661" s="22">
        <f t="shared" si="158"/>
        <v>0</v>
      </c>
      <c r="W661" s="22">
        <f t="shared" si="158"/>
        <v>0</v>
      </c>
      <c r="X661" s="22">
        <f t="shared" si="158"/>
        <v>0</v>
      </c>
      <c r="Y661" s="22">
        <f t="shared" si="158"/>
        <v>0</v>
      </c>
      <c r="Z661" s="22">
        <f t="shared" si="158"/>
        <v>0</v>
      </c>
      <c r="AA661" s="22">
        <f t="shared" si="158"/>
        <v>0</v>
      </c>
      <c r="AB661" s="22">
        <f t="shared" si="158"/>
        <v>0</v>
      </c>
      <c r="AC661" s="22">
        <f t="shared" si="158"/>
        <v>0</v>
      </c>
      <c r="AD661" s="22">
        <f t="shared" si="158"/>
        <v>0</v>
      </c>
    </row>
    <row r="662" spans="1:30" x14ac:dyDescent="0.25">
      <c r="A662" s="294" t="s">
        <v>118</v>
      </c>
      <c r="B662" s="409" t="s">
        <v>739</v>
      </c>
      <c r="C662" s="309" t="s">
        <v>36</v>
      </c>
      <c r="D662" s="22">
        <f>D663</f>
        <v>30471.4</v>
      </c>
      <c r="E662" s="22">
        <f t="shared" si="158"/>
        <v>0</v>
      </c>
      <c r="F662" s="22">
        <f t="shared" si="158"/>
        <v>0</v>
      </c>
      <c r="G662" s="65"/>
    </row>
    <row r="663" spans="1:30" x14ac:dyDescent="0.25">
      <c r="A663" s="294" t="s">
        <v>51</v>
      </c>
      <c r="B663" s="409" t="s">
        <v>739</v>
      </c>
      <c r="C663" s="309" t="s">
        <v>64</v>
      </c>
      <c r="D663" s="22">
        <f>'Функц. 2025-2027'!F526</f>
        <v>30471.4</v>
      </c>
      <c r="E663" s="107">
        <f>'Функц. 2025-2027'!H526</f>
        <v>0</v>
      </c>
      <c r="F663" s="107">
        <f>'Функц. 2025-2027'!J526</f>
        <v>0</v>
      </c>
      <c r="G663" s="65"/>
    </row>
    <row r="664" spans="1:30" x14ac:dyDescent="0.25">
      <c r="A664" s="255" t="s">
        <v>392</v>
      </c>
      <c r="B664" s="116" t="s">
        <v>393</v>
      </c>
      <c r="C664" s="285"/>
      <c r="D664" s="22">
        <f>D665+D667</f>
        <v>232300</v>
      </c>
      <c r="E664" s="22">
        <f t="shared" ref="D664:F665" si="159">E665</f>
        <v>0</v>
      </c>
      <c r="F664" s="107">
        <f t="shared" si="159"/>
        <v>0</v>
      </c>
      <c r="G664" s="65"/>
    </row>
    <row r="665" spans="1:30" x14ac:dyDescent="0.25">
      <c r="A665" s="255" t="s">
        <v>118</v>
      </c>
      <c r="B665" s="116" t="s">
        <v>393</v>
      </c>
      <c r="C665" s="285" t="s">
        <v>36</v>
      </c>
      <c r="D665" s="22">
        <f t="shared" si="159"/>
        <v>205026.5</v>
      </c>
      <c r="E665" s="22">
        <f t="shared" si="159"/>
        <v>0</v>
      </c>
      <c r="F665" s="107">
        <f t="shared" si="159"/>
        <v>0</v>
      </c>
      <c r="G665" s="65"/>
    </row>
    <row r="666" spans="1:30" x14ac:dyDescent="0.25">
      <c r="A666" s="255" t="s">
        <v>51</v>
      </c>
      <c r="B666" s="116" t="s">
        <v>393</v>
      </c>
      <c r="C666" s="285" t="s">
        <v>64</v>
      </c>
      <c r="D666" s="22">
        <f>'Функц. 2025-2027'!F529</f>
        <v>205026.5</v>
      </c>
      <c r="E666" s="22">
        <f>'Функц. 2025-2027'!H529</f>
        <v>0</v>
      </c>
      <c r="F666" s="107">
        <f>'Функц. 2025-2027'!J529</f>
        <v>0</v>
      </c>
      <c r="G666" s="65"/>
    </row>
    <row r="667" spans="1:30" ht="31.5" x14ac:dyDescent="0.25">
      <c r="A667" s="255" t="s">
        <v>59</v>
      </c>
      <c r="B667" s="116" t="s">
        <v>393</v>
      </c>
      <c r="C667" s="285" t="s">
        <v>382</v>
      </c>
      <c r="D667" s="22">
        <f>D668</f>
        <v>27273.500000000004</v>
      </c>
      <c r="E667" s="22">
        <f>E668</f>
        <v>0</v>
      </c>
      <c r="F667" s="22">
        <f>F668</f>
        <v>0</v>
      </c>
      <c r="G667" s="65"/>
    </row>
    <row r="668" spans="1:30" x14ac:dyDescent="0.25">
      <c r="A668" s="255" t="s">
        <v>60</v>
      </c>
      <c r="B668" s="116" t="s">
        <v>393</v>
      </c>
      <c r="C668" s="285" t="s">
        <v>383</v>
      </c>
      <c r="D668" s="22">
        <f>'Функц. 2025-2027'!F531</f>
        <v>27273.500000000004</v>
      </c>
      <c r="E668" s="22">
        <v>0</v>
      </c>
      <c r="F668" s="107">
        <v>0</v>
      </c>
      <c r="G668" s="65"/>
    </row>
    <row r="669" spans="1:30" x14ac:dyDescent="0.25">
      <c r="A669" s="184" t="s">
        <v>639</v>
      </c>
      <c r="B669" s="116" t="s">
        <v>640</v>
      </c>
      <c r="C669" s="285"/>
      <c r="D669" s="22">
        <f>D673+D676+D670</f>
        <v>171813.5</v>
      </c>
      <c r="E669" s="22">
        <f>E673+E676+E670</f>
        <v>16969.400000000001</v>
      </c>
      <c r="F669" s="22">
        <f>F673+F676+F670</f>
        <v>242420</v>
      </c>
      <c r="G669" s="65"/>
    </row>
    <row r="670" spans="1:30" ht="63" x14ac:dyDescent="0.25">
      <c r="A670" s="307" t="s">
        <v>774</v>
      </c>
      <c r="B670" s="272" t="s">
        <v>775</v>
      </c>
      <c r="C670" s="314"/>
      <c r="D670" s="22">
        <f t="shared" ref="D670:F671" si="160">D671</f>
        <v>29738.400000000001</v>
      </c>
      <c r="E670" s="22">
        <f t="shared" si="160"/>
        <v>0</v>
      </c>
      <c r="F670" s="22">
        <f t="shared" si="160"/>
        <v>0</v>
      </c>
      <c r="G670" s="65"/>
    </row>
    <row r="671" spans="1:30" x14ac:dyDescent="0.25">
      <c r="A671" s="294" t="s">
        <v>118</v>
      </c>
      <c r="B671" s="272" t="s">
        <v>775</v>
      </c>
      <c r="C671" s="314" t="s">
        <v>36</v>
      </c>
      <c r="D671" s="22">
        <f t="shared" si="160"/>
        <v>29738.400000000001</v>
      </c>
      <c r="E671" s="22">
        <f t="shared" si="160"/>
        <v>0</v>
      </c>
      <c r="F671" s="22">
        <f t="shared" si="160"/>
        <v>0</v>
      </c>
      <c r="G671" s="65"/>
    </row>
    <row r="672" spans="1:30" x14ac:dyDescent="0.25">
      <c r="A672" s="294" t="s">
        <v>51</v>
      </c>
      <c r="B672" s="272" t="s">
        <v>775</v>
      </c>
      <c r="C672" s="314" t="s">
        <v>64</v>
      </c>
      <c r="D672" s="22">
        <f>'Функц. 2025-2027'!F535</f>
        <v>29738.400000000001</v>
      </c>
      <c r="E672" s="107">
        <f>'Функц. 2025-2027'!H535</f>
        <v>0</v>
      </c>
      <c r="F672" s="107">
        <f>'Функц. 2025-2027'!J535</f>
        <v>0</v>
      </c>
      <c r="G672" s="65"/>
    </row>
    <row r="673" spans="1:30" ht="47.25" x14ac:dyDescent="0.25">
      <c r="A673" s="255" t="s">
        <v>638</v>
      </c>
      <c r="B673" s="116" t="s">
        <v>641</v>
      </c>
      <c r="C673" s="285"/>
      <c r="D673" s="22">
        <f xml:space="preserve"> D674</f>
        <v>142075.1</v>
      </c>
      <c r="E673" s="107">
        <f xml:space="preserve"> E674</f>
        <v>0</v>
      </c>
      <c r="F673" s="107">
        <f xml:space="preserve"> F674</f>
        <v>0</v>
      </c>
      <c r="G673" s="65"/>
    </row>
    <row r="674" spans="1:30" x14ac:dyDescent="0.25">
      <c r="A674" s="255" t="s">
        <v>118</v>
      </c>
      <c r="B674" s="116" t="s">
        <v>641</v>
      </c>
      <c r="C674" s="285" t="s">
        <v>36</v>
      </c>
      <c r="D674" s="22">
        <f>D675</f>
        <v>142075.1</v>
      </c>
      <c r="E674" s="107">
        <f>E675</f>
        <v>0</v>
      </c>
      <c r="F674" s="107">
        <f>F675</f>
        <v>0</v>
      </c>
      <c r="G674" s="65"/>
    </row>
    <row r="675" spans="1:30" x14ac:dyDescent="0.25">
      <c r="A675" s="255" t="s">
        <v>51</v>
      </c>
      <c r="B675" s="116" t="s">
        <v>641</v>
      </c>
      <c r="C675" s="285" t="s">
        <v>64</v>
      </c>
      <c r="D675" s="22">
        <f>'Функц. 2025-2027'!F538</f>
        <v>142075.1</v>
      </c>
      <c r="E675" s="107">
        <f>'Функц. 2025-2027'!H538</f>
        <v>0</v>
      </c>
      <c r="F675" s="107">
        <f>'Функц. 2025-2027'!J538</f>
        <v>0</v>
      </c>
      <c r="G675" s="193"/>
    </row>
    <row r="676" spans="1:30" ht="31.5" x14ac:dyDescent="0.25">
      <c r="A676" s="294" t="s">
        <v>611</v>
      </c>
      <c r="B676" s="116" t="s">
        <v>644</v>
      </c>
      <c r="C676" s="309"/>
      <c r="D676" s="22">
        <f t="shared" ref="D676:F677" si="161">D677</f>
        <v>0</v>
      </c>
      <c r="E676" s="22">
        <f t="shared" si="161"/>
        <v>16969.400000000001</v>
      </c>
      <c r="F676" s="22">
        <f t="shared" si="161"/>
        <v>242420</v>
      </c>
      <c r="G676" s="193"/>
    </row>
    <row r="677" spans="1:30" x14ac:dyDescent="0.25">
      <c r="A677" s="294" t="s">
        <v>118</v>
      </c>
      <c r="B677" s="116" t="s">
        <v>644</v>
      </c>
      <c r="C677" s="309" t="s">
        <v>36</v>
      </c>
      <c r="D677" s="22">
        <f t="shared" si="161"/>
        <v>0</v>
      </c>
      <c r="E677" s="22">
        <f t="shared" si="161"/>
        <v>16969.400000000001</v>
      </c>
      <c r="F677" s="22">
        <f t="shared" si="161"/>
        <v>242420</v>
      </c>
      <c r="G677" s="193"/>
    </row>
    <row r="678" spans="1:30" x14ac:dyDescent="0.25">
      <c r="A678" s="294" t="s">
        <v>51</v>
      </c>
      <c r="B678" s="116" t="s">
        <v>644</v>
      </c>
      <c r="C678" s="309" t="s">
        <v>64</v>
      </c>
      <c r="D678" s="22">
        <f>'Функц. 2025-2027'!F541</f>
        <v>0</v>
      </c>
      <c r="E678" s="107">
        <f>'Функц. 2025-2027'!H541</f>
        <v>16969.400000000001</v>
      </c>
      <c r="F678" s="107">
        <f>'Функц. 2025-2027'!J541</f>
        <v>242420</v>
      </c>
      <c r="G678" s="193"/>
    </row>
    <row r="679" spans="1:30" ht="31.5" x14ac:dyDescent="0.25">
      <c r="A679" s="199" t="s">
        <v>535</v>
      </c>
      <c r="B679" s="116" t="s">
        <v>242</v>
      </c>
      <c r="C679" s="284"/>
      <c r="D679" s="22">
        <f t="shared" ref="D679:AD679" si="162">D680+D723+D727</f>
        <v>453447.7</v>
      </c>
      <c r="E679" s="22">
        <f t="shared" si="162"/>
        <v>422874.59999999992</v>
      </c>
      <c r="F679" s="22">
        <f t="shared" si="162"/>
        <v>476131.2</v>
      </c>
      <c r="G679" s="22">
        <f t="shared" si="162"/>
        <v>0</v>
      </c>
      <c r="H679" s="22">
        <f t="shared" si="162"/>
        <v>0</v>
      </c>
      <c r="I679" s="22">
        <f t="shared" si="162"/>
        <v>0</v>
      </c>
      <c r="J679" s="22">
        <f t="shared" si="162"/>
        <v>0</v>
      </c>
      <c r="K679" s="22">
        <f t="shared" si="162"/>
        <v>0</v>
      </c>
      <c r="L679" s="22">
        <f t="shared" si="162"/>
        <v>0</v>
      </c>
      <c r="M679" s="22">
        <f t="shared" si="162"/>
        <v>0</v>
      </c>
      <c r="N679" s="22">
        <f t="shared" si="162"/>
        <v>0</v>
      </c>
      <c r="O679" s="22">
        <f t="shared" si="162"/>
        <v>0</v>
      </c>
      <c r="P679" s="22">
        <f t="shared" si="162"/>
        <v>0</v>
      </c>
      <c r="Q679" s="22">
        <f t="shared" si="162"/>
        <v>0</v>
      </c>
      <c r="R679" s="22">
        <f t="shared" si="162"/>
        <v>0</v>
      </c>
      <c r="S679" s="22">
        <f t="shared" si="162"/>
        <v>0</v>
      </c>
      <c r="T679" s="22">
        <f t="shared" si="162"/>
        <v>0</v>
      </c>
      <c r="U679" s="22">
        <f t="shared" si="162"/>
        <v>0</v>
      </c>
      <c r="V679" s="22">
        <f t="shared" si="162"/>
        <v>0</v>
      </c>
      <c r="W679" s="22">
        <f t="shared" si="162"/>
        <v>0</v>
      </c>
      <c r="X679" s="22">
        <f t="shared" si="162"/>
        <v>0</v>
      </c>
      <c r="Y679" s="22">
        <f t="shared" si="162"/>
        <v>0</v>
      </c>
      <c r="Z679" s="22">
        <f t="shared" si="162"/>
        <v>0</v>
      </c>
      <c r="AA679" s="22">
        <f t="shared" si="162"/>
        <v>0</v>
      </c>
      <c r="AB679" s="22">
        <f t="shared" si="162"/>
        <v>0</v>
      </c>
      <c r="AC679" s="22">
        <f t="shared" si="162"/>
        <v>0</v>
      </c>
      <c r="AD679" s="22">
        <f t="shared" si="162"/>
        <v>0</v>
      </c>
    </row>
    <row r="680" spans="1:30" ht="31.5" x14ac:dyDescent="0.25">
      <c r="A680" s="184" t="s">
        <v>536</v>
      </c>
      <c r="B680" s="116" t="s">
        <v>243</v>
      </c>
      <c r="C680" s="284"/>
      <c r="D680" s="22">
        <f>D688+D712+D691+D703+D715+D706+D700+D697+D681+D720+D694+D709</f>
        <v>414946.4</v>
      </c>
      <c r="E680" s="22">
        <f t="shared" ref="E680:F680" si="163">E688+E712+E691+E703+E715+E706+E700+E697+E681+E720+E694+E709</f>
        <v>382752.29999999993</v>
      </c>
      <c r="F680" s="22">
        <f t="shared" si="163"/>
        <v>434403.9</v>
      </c>
      <c r="G680" s="65"/>
    </row>
    <row r="681" spans="1:30" x14ac:dyDescent="0.25">
      <c r="A681" s="184" t="s">
        <v>621</v>
      </c>
      <c r="B681" s="116" t="s">
        <v>622</v>
      </c>
      <c r="C681" s="284"/>
      <c r="D681" s="22">
        <f>D682+D685</f>
        <v>52569.100000000006</v>
      </c>
      <c r="E681" s="22">
        <f>E682+E685</f>
        <v>21472</v>
      </c>
      <c r="F681" s="22">
        <f>F682+F685</f>
        <v>22352</v>
      </c>
      <c r="G681" s="22" t="e">
        <f>#REF!+G682</f>
        <v>#REF!</v>
      </c>
      <c r="H681" s="22" t="e">
        <f>#REF!+H682</f>
        <v>#REF!</v>
      </c>
      <c r="I681" s="22" t="e">
        <f>#REF!+I682</f>
        <v>#REF!</v>
      </c>
      <c r="J681" s="22" t="e">
        <f>#REF!+J682</f>
        <v>#REF!</v>
      </c>
      <c r="K681" s="22" t="e">
        <f>#REF!+K682</f>
        <v>#REF!</v>
      </c>
      <c r="L681" s="22" t="e">
        <f>#REF!+L682</f>
        <v>#REF!</v>
      </c>
      <c r="M681" s="22" t="e">
        <f>#REF!+M682</f>
        <v>#REF!</v>
      </c>
      <c r="N681" s="22" t="e">
        <f>#REF!+N682</f>
        <v>#REF!</v>
      </c>
      <c r="O681" s="22" t="e">
        <f>#REF!+O682</f>
        <v>#REF!</v>
      </c>
      <c r="P681" s="22" t="e">
        <f>#REF!+P682</f>
        <v>#REF!</v>
      </c>
      <c r="Q681" s="22" t="e">
        <f>#REF!+Q682</f>
        <v>#REF!</v>
      </c>
      <c r="R681" s="22" t="e">
        <f>#REF!+R682</f>
        <v>#REF!</v>
      </c>
      <c r="S681" s="22" t="e">
        <f>#REF!+S682</f>
        <v>#REF!</v>
      </c>
      <c r="T681" s="22" t="e">
        <f>#REF!+T682</f>
        <v>#REF!</v>
      </c>
      <c r="U681" s="22" t="e">
        <f>#REF!+U682</f>
        <v>#REF!</v>
      </c>
      <c r="V681" s="22" t="e">
        <f>#REF!+V682</f>
        <v>#REF!</v>
      </c>
      <c r="W681" s="22" t="e">
        <f>#REF!+W682</f>
        <v>#REF!</v>
      </c>
      <c r="X681" s="22" t="e">
        <f>#REF!+X682</f>
        <v>#REF!</v>
      </c>
      <c r="Y681" s="22" t="e">
        <f>#REF!+Y682</f>
        <v>#REF!</v>
      </c>
      <c r="Z681" s="22" t="e">
        <f>#REF!+Z682</f>
        <v>#REF!</v>
      </c>
      <c r="AA681" s="22" t="e">
        <f>#REF!+AA682</f>
        <v>#REF!</v>
      </c>
      <c r="AB681" s="22" t="e">
        <f>#REF!+AB682</f>
        <v>#REF!</v>
      </c>
      <c r="AC681" s="22" t="e">
        <f>#REF!+AC682</f>
        <v>#REF!</v>
      </c>
      <c r="AD681" s="22" t="e">
        <f>#REF!+AD682</f>
        <v>#REF!</v>
      </c>
    </row>
    <row r="682" spans="1:30" x14ac:dyDescent="0.25">
      <c r="A682" s="184" t="s">
        <v>707</v>
      </c>
      <c r="B682" s="116" t="s">
        <v>679</v>
      </c>
      <c r="C682" s="284"/>
      <c r="D682" s="22">
        <f t="shared" ref="D682:F683" si="164">D683</f>
        <v>18637.3</v>
      </c>
      <c r="E682" s="22">
        <f t="shared" si="164"/>
        <v>21472</v>
      </c>
      <c r="F682" s="22">
        <f t="shared" si="164"/>
        <v>22352</v>
      </c>
      <c r="G682" s="65"/>
    </row>
    <row r="683" spans="1:30" ht="31.5" x14ac:dyDescent="0.25">
      <c r="A683" s="255" t="s">
        <v>59</v>
      </c>
      <c r="B683" s="116" t="s">
        <v>679</v>
      </c>
      <c r="C683" s="284">
        <v>600</v>
      </c>
      <c r="D683" s="22">
        <f t="shared" si="164"/>
        <v>18637.3</v>
      </c>
      <c r="E683" s="22">
        <f t="shared" si="164"/>
        <v>21472</v>
      </c>
      <c r="F683" s="22">
        <f t="shared" si="164"/>
        <v>22352</v>
      </c>
      <c r="G683" s="65"/>
    </row>
    <row r="684" spans="1:30" x14ac:dyDescent="0.25">
      <c r="A684" s="255" t="s">
        <v>60</v>
      </c>
      <c r="B684" s="116" t="s">
        <v>679</v>
      </c>
      <c r="C684" s="284">
        <v>610</v>
      </c>
      <c r="D684" s="22">
        <f>'Функц. 2025-2027'!F888</f>
        <v>18637.3</v>
      </c>
      <c r="E684" s="107">
        <f>'Функц. 2025-2027'!H888</f>
        <v>21472</v>
      </c>
      <c r="F684" s="107">
        <f>'Функц. 2025-2027'!J888</f>
        <v>22352</v>
      </c>
      <c r="G684" s="65"/>
    </row>
    <row r="685" spans="1:30" x14ac:dyDescent="0.25">
      <c r="A685" s="363" t="s">
        <v>763</v>
      </c>
      <c r="B685" s="348" t="s">
        <v>764</v>
      </c>
      <c r="C685" s="230"/>
      <c r="D685" s="22">
        <f t="shared" ref="D685:F686" si="165">D686</f>
        <v>33931.800000000003</v>
      </c>
      <c r="E685" s="22">
        <f t="shared" si="165"/>
        <v>0</v>
      </c>
      <c r="F685" s="22">
        <f t="shared" si="165"/>
        <v>0</v>
      </c>
      <c r="G685" s="65"/>
    </row>
    <row r="686" spans="1:30" x14ac:dyDescent="0.25">
      <c r="A686" s="320" t="s">
        <v>118</v>
      </c>
      <c r="B686" s="348" t="s">
        <v>764</v>
      </c>
      <c r="C686" s="309" t="s">
        <v>36</v>
      </c>
      <c r="D686" s="22">
        <f t="shared" si="165"/>
        <v>33931.800000000003</v>
      </c>
      <c r="E686" s="22">
        <f t="shared" si="165"/>
        <v>0</v>
      </c>
      <c r="F686" s="22">
        <f t="shared" si="165"/>
        <v>0</v>
      </c>
      <c r="G686" s="65"/>
    </row>
    <row r="687" spans="1:30" x14ac:dyDescent="0.25">
      <c r="A687" s="320" t="s">
        <v>51</v>
      </c>
      <c r="B687" s="348" t="s">
        <v>764</v>
      </c>
      <c r="C687" s="309" t="s">
        <v>64</v>
      </c>
      <c r="D687" s="22">
        <f>'Функц. 2025-2027'!F546</f>
        <v>33931.800000000003</v>
      </c>
      <c r="E687" s="107">
        <f>'Функц. 2025-2027'!H546</f>
        <v>0</v>
      </c>
      <c r="F687" s="107">
        <f>'Функц. 2025-2027'!J546</f>
        <v>0</v>
      </c>
      <c r="G687" s="65"/>
    </row>
    <row r="688" spans="1:30" x14ac:dyDescent="0.25">
      <c r="A688" s="200" t="s">
        <v>567</v>
      </c>
      <c r="B688" s="116" t="s">
        <v>566</v>
      </c>
      <c r="C688" s="284"/>
      <c r="D688" s="22">
        <f t="shared" ref="D688:F689" si="166">D689</f>
        <v>0</v>
      </c>
      <c r="E688" s="107">
        <f t="shared" si="166"/>
        <v>4891.6000000000004</v>
      </c>
      <c r="F688" s="107">
        <f t="shared" si="166"/>
        <v>32860.699999999997</v>
      </c>
      <c r="G688" s="65"/>
    </row>
    <row r="689" spans="1:7" x14ac:dyDescent="0.25">
      <c r="A689" s="255" t="s">
        <v>118</v>
      </c>
      <c r="B689" s="116" t="s">
        <v>566</v>
      </c>
      <c r="C689" s="271">
        <v>200</v>
      </c>
      <c r="D689" s="22">
        <f t="shared" si="166"/>
        <v>0</v>
      </c>
      <c r="E689" s="107">
        <f t="shared" si="166"/>
        <v>4891.6000000000004</v>
      </c>
      <c r="F689" s="107">
        <f t="shared" si="166"/>
        <v>32860.699999999997</v>
      </c>
      <c r="G689" s="65"/>
    </row>
    <row r="690" spans="1:7" x14ac:dyDescent="0.25">
      <c r="A690" s="255" t="s">
        <v>51</v>
      </c>
      <c r="B690" s="116" t="s">
        <v>566</v>
      </c>
      <c r="C690" s="284">
        <v>240</v>
      </c>
      <c r="D690" s="22">
        <f>'Функц. 2025-2027'!F549</f>
        <v>0</v>
      </c>
      <c r="E690" s="107">
        <f>'Функц. 2025-2027'!H549</f>
        <v>4891.6000000000004</v>
      </c>
      <c r="F690" s="107">
        <f>'Функц. 2025-2027'!J549</f>
        <v>32860.699999999997</v>
      </c>
      <c r="G690" s="65"/>
    </row>
    <row r="691" spans="1:7" x14ac:dyDescent="0.25">
      <c r="A691" s="255" t="s">
        <v>429</v>
      </c>
      <c r="B691" s="116" t="s">
        <v>397</v>
      </c>
      <c r="C691" s="284"/>
      <c r="D691" s="22">
        <f t="shared" ref="D691:F692" si="167">D692</f>
        <v>32793.300000000003</v>
      </c>
      <c r="E691" s="107">
        <f t="shared" si="167"/>
        <v>22488.1</v>
      </c>
      <c r="F691" s="107">
        <f t="shared" si="167"/>
        <v>31269.200000000001</v>
      </c>
      <c r="G691" s="65"/>
    </row>
    <row r="692" spans="1:7" x14ac:dyDescent="0.25">
      <c r="A692" s="255" t="s">
        <v>118</v>
      </c>
      <c r="B692" s="116" t="s">
        <v>397</v>
      </c>
      <c r="C692" s="271">
        <v>200</v>
      </c>
      <c r="D692" s="22">
        <f t="shared" si="167"/>
        <v>32793.300000000003</v>
      </c>
      <c r="E692" s="107">
        <f t="shared" si="167"/>
        <v>22488.1</v>
      </c>
      <c r="F692" s="107">
        <f t="shared" si="167"/>
        <v>31269.200000000001</v>
      </c>
      <c r="G692" s="65"/>
    </row>
    <row r="693" spans="1:7" x14ac:dyDescent="0.25">
      <c r="A693" s="255" t="s">
        <v>51</v>
      </c>
      <c r="B693" s="116" t="s">
        <v>397</v>
      </c>
      <c r="C693" s="284">
        <v>240</v>
      </c>
      <c r="D693" s="22">
        <f>'Функц. 2025-2027'!F552</f>
        <v>32793.300000000003</v>
      </c>
      <c r="E693" s="107">
        <f>'Функц. 2025-2027'!H552</f>
        <v>22488.1</v>
      </c>
      <c r="F693" s="107">
        <f>'Функц. 2025-2027'!J552</f>
        <v>31269.200000000001</v>
      </c>
      <c r="G693" s="65"/>
    </row>
    <row r="694" spans="1:7" x14ac:dyDescent="0.25">
      <c r="A694" s="307" t="s">
        <v>875</v>
      </c>
      <c r="B694" s="348" t="s">
        <v>876</v>
      </c>
      <c r="C694" s="230"/>
      <c r="D694" s="22">
        <f t="shared" ref="D694:F695" si="168">D695</f>
        <v>853.9</v>
      </c>
      <c r="E694" s="22">
        <f t="shared" si="168"/>
        <v>0</v>
      </c>
      <c r="F694" s="22">
        <f t="shared" si="168"/>
        <v>0</v>
      </c>
      <c r="G694" s="65"/>
    </row>
    <row r="695" spans="1:7" ht="31.5" x14ac:dyDescent="0.25">
      <c r="A695" s="294" t="s">
        <v>59</v>
      </c>
      <c r="B695" s="348" t="s">
        <v>876</v>
      </c>
      <c r="C695" s="230">
        <v>600</v>
      </c>
      <c r="D695" s="22">
        <f t="shared" si="168"/>
        <v>853.9</v>
      </c>
      <c r="E695" s="22">
        <f t="shared" si="168"/>
        <v>0</v>
      </c>
      <c r="F695" s="22">
        <f t="shared" si="168"/>
        <v>0</v>
      </c>
      <c r="G695" s="65"/>
    </row>
    <row r="696" spans="1:7" x14ac:dyDescent="0.25">
      <c r="A696" s="294" t="s">
        <v>60</v>
      </c>
      <c r="B696" s="348" t="s">
        <v>876</v>
      </c>
      <c r="C696" s="230">
        <v>610</v>
      </c>
      <c r="D696" s="22">
        <f>'Функц. 2025-2027'!F555</f>
        <v>853.9</v>
      </c>
      <c r="E696" s="107">
        <f>'Функц. 2025-2027'!H555</f>
        <v>0</v>
      </c>
      <c r="F696" s="107">
        <f>'Функц. 2025-2027'!J555</f>
        <v>0</v>
      </c>
      <c r="G696" s="65"/>
    </row>
    <row r="697" spans="1:7" ht="31.5" x14ac:dyDescent="0.25">
      <c r="A697" s="255" t="s">
        <v>619</v>
      </c>
      <c r="B697" s="116" t="s">
        <v>618</v>
      </c>
      <c r="C697" s="284"/>
      <c r="D697" s="22">
        <f t="shared" ref="D697:F698" si="169">D698</f>
        <v>15915.2</v>
      </c>
      <c r="E697" s="22">
        <f t="shared" si="169"/>
        <v>16552</v>
      </c>
      <c r="F697" s="22">
        <f t="shared" si="169"/>
        <v>17214</v>
      </c>
      <c r="G697" s="65"/>
    </row>
    <row r="698" spans="1:7" x14ac:dyDescent="0.25">
      <c r="A698" s="255" t="s">
        <v>118</v>
      </c>
      <c r="B698" s="116" t="s">
        <v>618</v>
      </c>
      <c r="C698" s="271">
        <v>200</v>
      </c>
      <c r="D698" s="22">
        <f t="shared" si="169"/>
        <v>15915.2</v>
      </c>
      <c r="E698" s="22">
        <f t="shared" si="169"/>
        <v>16552</v>
      </c>
      <c r="F698" s="22">
        <f t="shared" si="169"/>
        <v>17214</v>
      </c>
      <c r="G698" s="65"/>
    </row>
    <row r="699" spans="1:7" x14ac:dyDescent="0.25">
      <c r="A699" s="255" t="s">
        <v>51</v>
      </c>
      <c r="B699" s="116" t="s">
        <v>618</v>
      </c>
      <c r="C699" s="284">
        <v>240</v>
      </c>
      <c r="D699" s="22">
        <f>'Функц. 2025-2027'!F558</f>
        <v>15915.2</v>
      </c>
      <c r="E699" s="22">
        <f>'Функц. 2025-2027'!H558</f>
        <v>16552</v>
      </c>
      <c r="F699" s="22">
        <f>'Функц. 2025-2027'!J558</f>
        <v>17214</v>
      </c>
      <c r="G699" s="65"/>
    </row>
    <row r="700" spans="1:7" x14ac:dyDescent="0.25">
      <c r="A700" s="255" t="s">
        <v>616</v>
      </c>
      <c r="B700" s="116" t="s">
        <v>617</v>
      </c>
      <c r="C700" s="284"/>
      <c r="D700" s="22">
        <f t="shared" ref="D700:F701" si="170">D701</f>
        <v>14147</v>
      </c>
      <c r="E700" s="22">
        <f t="shared" si="170"/>
        <v>14713</v>
      </c>
      <c r="F700" s="22">
        <f t="shared" si="170"/>
        <v>15301</v>
      </c>
      <c r="G700" s="65"/>
    </row>
    <row r="701" spans="1:7" x14ac:dyDescent="0.25">
      <c r="A701" s="255" t="s">
        <v>118</v>
      </c>
      <c r="B701" s="116" t="s">
        <v>617</v>
      </c>
      <c r="C701" s="271">
        <v>200</v>
      </c>
      <c r="D701" s="22">
        <f t="shared" si="170"/>
        <v>14147</v>
      </c>
      <c r="E701" s="22">
        <f t="shared" si="170"/>
        <v>14713</v>
      </c>
      <c r="F701" s="22">
        <f t="shared" si="170"/>
        <v>15301</v>
      </c>
      <c r="G701" s="65"/>
    </row>
    <row r="702" spans="1:7" x14ac:dyDescent="0.25">
      <c r="A702" s="255" t="s">
        <v>51</v>
      </c>
      <c r="B702" s="116" t="s">
        <v>617</v>
      </c>
      <c r="C702" s="284">
        <v>240</v>
      </c>
      <c r="D702" s="22">
        <f>'Функц. 2025-2027'!F561</f>
        <v>14147</v>
      </c>
      <c r="E702" s="107">
        <f>'Функц. 2025-2027'!H561</f>
        <v>14713</v>
      </c>
      <c r="F702" s="107">
        <f>'Функц. 2025-2027'!J561</f>
        <v>15301</v>
      </c>
      <c r="G702" s="65"/>
    </row>
    <row r="703" spans="1:7" x14ac:dyDescent="0.25">
      <c r="A703" s="255" t="s">
        <v>436</v>
      </c>
      <c r="B703" s="409" t="s">
        <v>692</v>
      </c>
      <c r="C703" s="285"/>
      <c r="D703" s="22">
        <f t="shared" ref="D703:F704" si="171">D704</f>
        <v>7288</v>
      </c>
      <c r="E703" s="22">
        <f t="shared" si="171"/>
        <v>7580</v>
      </c>
      <c r="F703" s="22">
        <f t="shared" si="171"/>
        <v>7883</v>
      </c>
      <c r="G703" s="65"/>
    </row>
    <row r="704" spans="1:7" x14ac:dyDescent="0.25">
      <c r="A704" s="255" t="s">
        <v>118</v>
      </c>
      <c r="B704" s="409" t="s">
        <v>692</v>
      </c>
      <c r="C704" s="285" t="s">
        <v>36</v>
      </c>
      <c r="D704" s="22">
        <f t="shared" si="171"/>
        <v>7288</v>
      </c>
      <c r="E704" s="22">
        <f t="shared" si="171"/>
        <v>7580</v>
      </c>
      <c r="F704" s="22">
        <f t="shared" si="171"/>
        <v>7883</v>
      </c>
      <c r="G704" s="65"/>
    </row>
    <row r="705" spans="1:7" x14ac:dyDescent="0.25">
      <c r="A705" s="255" t="s">
        <v>51</v>
      </c>
      <c r="B705" s="409" t="s">
        <v>692</v>
      </c>
      <c r="C705" s="285" t="s">
        <v>64</v>
      </c>
      <c r="D705" s="22">
        <f>'Функц. 2025-2027'!F364</f>
        <v>7288</v>
      </c>
      <c r="E705" s="107">
        <f>'Функц. 2025-2027'!H364</f>
        <v>7580</v>
      </c>
      <c r="F705" s="107">
        <f>'Функц. 2025-2027'!J364</f>
        <v>7883</v>
      </c>
      <c r="G705" s="65"/>
    </row>
    <row r="706" spans="1:7" x14ac:dyDescent="0.25">
      <c r="A706" s="255" t="s">
        <v>424</v>
      </c>
      <c r="B706" s="409" t="s">
        <v>680</v>
      </c>
      <c r="C706" s="284"/>
      <c r="D706" s="22">
        <f t="shared" ref="D706:F707" si="172">D707</f>
        <v>2814.1</v>
      </c>
      <c r="E706" s="22">
        <f t="shared" si="172"/>
        <v>3986</v>
      </c>
      <c r="F706" s="22">
        <f t="shared" si="172"/>
        <v>4145</v>
      </c>
      <c r="G706" s="65"/>
    </row>
    <row r="707" spans="1:7" x14ac:dyDescent="0.25">
      <c r="A707" s="255" t="s">
        <v>118</v>
      </c>
      <c r="B707" s="409" t="s">
        <v>680</v>
      </c>
      <c r="C707" s="271">
        <v>200</v>
      </c>
      <c r="D707" s="22">
        <f t="shared" si="172"/>
        <v>2814.1</v>
      </c>
      <c r="E707" s="22">
        <f t="shared" si="172"/>
        <v>3986</v>
      </c>
      <c r="F707" s="22">
        <f t="shared" si="172"/>
        <v>4145</v>
      </c>
      <c r="G707" s="65"/>
    </row>
    <row r="708" spans="1:7" x14ac:dyDescent="0.25">
      <c r="A708" s="255" t="s">
        <v>51</v>
      </c>
      <c r="B708" s="409" t="s">
        <v>680</v>
      </c>
      <c r="C708" s="284">
        <v>240</v>
      </c>
      <c r="D708" s="22">
        <f>'Функц. 2025-2027'!F564</f>
        <v>2814.1</v>
      </c>
      <c r="E708" s="107">
        <f>'Функц. 2025-2027'!H564</f>
        <v>3986</v>
      </c>
      <c r="F708" s="107">
        <f>'Функц. 2025-2027'!J564</f>
        <v>4145</v>
      </c>
      <c r="G708" s="65"/>
    </row>
    <row r="709" spans="1:7" x14ac:dyDescent="0.25">
      <c r="A709" s="294" t="s">
        <v>903</v>
      </c>
      <c r="B709" s="348" t="s">
        <v>902</v>
      </c>
      <c r="C709" s="297"/>
      <c r="D709" s="22">
        <f>D710</f>
        <v>0</v>
      </c>
      <c r="E709" s="22">
        <f t="shared" ref="E709:F710" si="173">E710</f>
        <v>6394.9</v>
      </c>
      <c r="F709" s="22">
        <f t="shared" si="173"/>
        <v>8526.6</v>
      </c>
      <c r="G709" s="65"/>
    </row>
    <row r="710" spans="1:7" ht="31.5" x14ac:dyDescent="0.25">
      <c r="A710" s="294" t="s">
        <v>59</v>
      </c>
      <c r="B710" s="348" t="s">
        <v>902</v>
      </c>
      <c r="C710" s="297">
        <v>600</v>
      </c>
      <c r="D710" s="22">
        <f>D711</f>
        <v>0</v>
      </c>
      <c r="E710" s="22">
        <f t="shared" si="173"/>
        <v>6394.9</v>
      </c>
      <c r="F710" s="22">
        <f t="shared" si="173"/>
        <v>8526.6</v>
      </c>
      <c r="G710" s="65"/>
    </row>
    <row r="711" spans="1:7" x14ac:dyDescent="0.25">
      <c r="A711" s="294" t="s">
        <v>60</v>
      </c>
      <c r="B711" s="348" t="s">
        <v>902</v>
      </c>
      <c r="C711" s="297">
        <v>610</v>
      </c>
      <c r="D711" s="22">
        <f>'Функц. 2025-2027'!F567</f>
        <v>0</v>
      </c>
      <c r="E711" s="107">
        <f>'Функц. 2025-2027'!H567</f>
        <v>6394.9</v>
      </c>
      <c r="F711" s="107">
        <f>'Функц. 2025-2027'!J567</f>
        <v>8526.6</v>
      </c>
      <c r="G711" s="65"/>
    </row>
    <row r="712" spans="1:7" ht="31.5" x14ac:dyDescent="0.25">
      <c r="A712" s="200" t="s">
        <v>573</v>
      </c>
      <c r="B712" s="116" t="s">
        <v>415</v>
      </c>
      <c r="C712" s="284"/>
      <c r="D712" s="22">
        <f t="shared" ref="D712:F713" si="174">D713</f>
        <v>286360.7</v>
      </c>
      <c r="E712" s="107">
        <f t="shared" si="174"/>
        <v>281541.09999999998</v>
      </c>
      <c r="F712" s="107">
        <f t="shared" si="174"/>
        <v>293236.40000000002</v>
      </c>
      <c r="G712" s="65"/>
    </row>
    <row r="713" spans="1:7" ht="31.5" x14ac:dyDescent="0.25">
      <c r="A713" s="198" t="s">
        <v>59</v>
      </c>
      <c r="B713" s="116" t="s">
        <v>415</v>
      </c>
      <c r="C713" s="271">
        <v>600</v>
      </c>
      <c r="D713" s="22">
        <f t="shared" si="174"/>
        <v>286360.7</v>
      </c>
      <c r="E713" s="107">
        <f t="shared" si="174"/>
        <v>281541.09999999998</v>
      </c>
      <c r="F713" s="107">
        <f t="shared" si="174"/>
        <v>293236.40000000002</v>
      </c>
      <c r="G713" s="65"/>
    </row>
    <row r="714" spans="1:7" x14ac:dyDescent="0.25">
      <c r="A714" s="198" t="s">
        <v>60</v>
      </c>
      <c r="B714" s="116" t="s">
        <v>415</v>
      </c>
      <c r="C714" s="284">
        <v>610</v>
      </c>
      <c r="D714" s="22">
        <f>'Функц. 2025-2027'!F570</f>
        <v>286360.7</v>
      </c>
      <c r="E714" s="107">
        <f>'Функц. 2025-2027'!H570</f>
        <v>281541.09999999998</v>
      </c>
      <c r="F714" s="107">
        <f>'Функц. 2025-2027'!J570</f>
        <v>293236.40000000002</v>
      </c>
      <c r="G714" s="65"/>
    </row>
    <row r="715" spans="1:7" ht="31.5" x14ac:dyDescent="0.25">
      <c r="A715" s="198" t="s">
        <v>324</v>
      </c>
      <c r="B715" s="116" t="s">
        <v>538</v>
      </c>
      <c r="C715" s="284"/>
      <c r="D715" s="22">
        <f>D716+D718</f>
        <v>1612</v>
      </c>
      <c r="E715" s="22">
        <f>E716+E718</f>
        <v>1614</v>
      </c>
      <c r="F715" s="22">
        <f>F716+F718</f>
        <v>1616</v>
      </c>
      <c r="G715" s="65"/>
    </row>
    <row r="716" spans="1:7" ht="47.25" x14ac:dyDescent="0.25">
      <c r="A716" s="198" t="s">
        <v>40</v>
      </c>
      <c r="B716" s="116" t="s">
        <v>538</v>
      </c>
      <c r="C716" s="284">
        <v>100</v>
      </c>
      <c r="D716" s="22">
        <f>D717</f>
        <v>1541</v>
      </c>
      <c r="E716" s="22">
        <f>E717</f>
        <v>1541</v>
      </c>
      <c r="F716" s="22">
        <f>F717</f>
        <v>1541</v>
      </c>
      <c r="G716" s="65"/>
    </row>
    <row r="717" spans="1:7" x14ac:dyDescent="0.25">
      <c r="A717" s="198" t="s">
        <v>94</v>
      </c>
      <c r="B717" s="116" t="s">
        <v>538</v>
      </c>
      <c r="C717" s="284">
        <v>120</v>
      </c>
      <c r="D717" s="22">
        <f>'Функц. 2025-2027'!F587</f>
        <v>1541</v>
      </c>
      <c r="E717" s="107">
        <f>'Функц. 2025-2027'!H587</f>
        <v>1541</v>
      </c>
      <c r="F717" s="107">
        <f>'Функц. 2025-2027'!K587</f>
        <v>1541</v>
      </c>
      <c r="G717" s="65"/>
    </row>
    <row r="718" spans="1:7" x14ac:dyDescent="0.25">
      <c r="A718" s="198" t="s">
        <v>118</v>
      </c>
      <c r="B718" s="116" t="s">
        <v>538</v>
      </c>
      <c r="C718" s="284">
        <v>200</v>
      </c>
      <c r="D718" s="22">
        <f>D719</f>
        <v>71</v>
      </c>
      <c r="E718" s="22">
        <f>E719</f>
        <v>73</v>
      </c>
      <c r="F718" s="22">
        <f>F719</f>
        <v>75</v>
      </c>
      <c r="G718" s="65"/>
    </row>
    <row r="719" spans="1:7" x14ac:dyDescent="0.25">
      <c r="A719" s="198" t="s">
        <v>51</v>
      </c>
      <c r="B719" s="116" t="s">
        <v>538</v>
      </c>
      <c r="C719" s="284">
        <v>240</v>
      </c>
      <c r="D719" s="22">
        <f>'Функц. 2025-2027'!F589</f>
        <v>71</v>
      </c>
      <c r="E719" s="107">
        <f>'Функц. 2025-2027'!H589</f>
        <v>73</v>
      </c>
      <c r="F719" s="107">
        <f>'Функц. 2025-2027'!K589</f>
        <v>75</v>
      </c>
      <c r="G719" s="65"/>
    </row>
    <row r="720" spans="1:7" x14ac:dyDescent="0.25">
      <c r="A720" s="294" t="s">
        <v>631</v>
      </c>
      <c r="B720" s="409" t="s">
        <v>632</v>
      </c>
      <c r="C720" s="309"/>
      <c r="D720" s="22">
        <f t="shared" ref="D720:F721" si="175">D721</f>
        <v>593.1</v>
      </c>
      <c r="E720" s="22">
        <f t="shared" si="175"/>
        <v>1519.6</v>
      </c>
      <c r="F720" s="22">
        <f t="shared" si="175"/>
        <v>0</v>
      </c>
      <c r="G720" s="65"/>
    </row>
    <row r="721" spans="1:30" x14ac:dyDescent="0.25">
      <c r="A721" s="294" t="s">
        <v>118</v>
      </c>
      <c r="B721" s="409" t="s">
        <v>632</v>
      </c>
      <c r="C721" s="309" t="s">
        <v>36</v>
      </c>
      <c r="D721" s="22">
        <f t="shared" si="175"/>
        <v>593.1</v>
      </c>
      <c r="E721" s="22">
        <f t="shared" si="175"/>
        <v>1519.6</v>
      </c>
      <c r="F721" s="22">
        <f t="shared" si="175"/>
        <v>0</v>
      </c>
      <c r="G721" s="22">
        <f t="shared" ref="G721:AD721" si="176">G722</f>
        <v>0</v>
      </c>
      <c r="H721" s="22">
        <f t="shared" si="176"/>
        <v>0</v>
      </c>
      <c r="I721" s="22">
        <f t="shared" si="176"/>
        <v>0</v>
      </c>
      <c r="J721" s="22">
        <f t="shared" si="176"/>
        <v>0</v>
      </c>
      <c r="K721" s="22">
        <f t="shared" si="176"/>
        <v>0</v>
      </c>
      <c r="L721" s="22">
        <f t="shared" si="176"/>
        <v>0</v>
      </c>
      <c r="M721" s="22">
        <f t="shared" si="176"/>
        <v>0</v>
      </c>
      <c r="N721" s="22">
        <f t="shared" si="176"/>
        <v>0</v>
      </c>
      <c r="O721" s="22">
        <f t="shared" si="176"/>
        <v>0</v>
      </c>
      <c r="P721" s="22">
        <f t="shared" si="176"/>
        <v>0</v>
      </c>
      <c r="Q721" s="22">
        <f t="shared" si="176"/>
        <v>0</v>
      </c>
      <c r="R721" s="22">
        <f t="shared" si="176"/>
        <v>0</v>
      </c>
      <c r="S721" s="22">
        <f t="shared" si="176"/>
        <v>0</v>
      </c>
      <c r="T721" s="22">
        <f t="shared" si="176"/>
        <v>0</v>
      </c>
      <c r="U721" s="22">
        <f t="shared" si="176"/>
        <v>0</v>
      </c>
      <c r="V721" s="22">
        <f t="shared" si="176"/>
        <v>0</v>
      </c>
      <c r="W721" s="22">
        <f t="shared" si="176"/>
        <v>0</v>
      </c>
      <c r="X721" s="22">
        <f t="shared" si="176"/>
        <v>0</v>
      </c>
      <c r="Y721" s="22">
        <f t="shared" si="176"/>
        <v>0</v>
      </c>
      <c r="Z721" s="22">
        <f t="shared" si="176"/>
        <v>0</v>
      </c>
      <c r="AA721" s="22">
        <f t="shared" si="176"/>
        <v>0</v>
      </c>
      <c r="AB721" s="22">
        <f t="shared" si="176"/>
        <v>0</v>
      </c>
      <c r="AC721" s="22">
        <f t="shared" si="176"/>
        <v>0</v>
      </c>
      <c r="AD721" s="22">
        <f t="shared" si="176"/>
        <v>0</v>
      </c>
    </row>
    <row r="722" spans="1:30" x14ac:dyDescent="0.25">
      <c r="A722" s="294" t="s">
        <v>51</v>
      </c>
      <c r="B722" s="409" t="s">
        <v>632</v>
      </c>
      <c r="C722" s="309" t="s">
        <v>64</v>
      </c>
      <c r="D722" s="22">
        <f>'Функц. 2025-2027'!F481</f>
        <v>593.1</v>
      </c>
      <c r="E722" s="107">
        <f>'Функц. 2025-2027'!H481</f>
        <v>1519.6</v>
      </c>
      <c r="F722" s="107">
        <f>'Функц. 2025-2027'!J481</f>
        <v>0</v>
      </c>
      <c r="G722" s="65"/>
    </row>
    <row r="723" spans="1:30" ht="31.5" x14ac:dyDescent="0.25">
      <c r="A723" s="184" t="s">
        <v>319</v>
      </c>
      <c r="B723" s="116" t="s">
        <v>537</v>
      </c>
      <c r="C723" s="271"/>
      <c r="D723" s="22">
        <f t="shared" ref="D723:F725" si="177">D724</f>
        <v>3464</v>
      </c>
      <c r="E723" s="22">
        <f t="shared" si="177"/>
        <v>0</v>
      </c>
      <c r="F723" s="22">
        <f t="shared" si="177"/>
        <v>0</v>
      </c>
      <c r="G723" s="65"/>
    </row>
    <row r="724" spans="1:30" x14ac:dyDescent="0.25">
      <c r="A724" s="184" t="s">
        <v>596</v>
      </c>
      <c r="B724" s="409" t="s">
        <v>671</v>
      </c>
      <c r="C724" s="285"/>
      <c r="D724" s="22">
        <f t="shared" si="177"/>
        <v>3464</v>
      </c>
      <c r="E724" s="22">
        <f t="shared" si="177"/>
        <v>0</v>
      </c>
      <c r="F724" s="22">
        <f t="shared" si="177"/>
        <v>0</v>
      </c>
      <c r="G724" s="65"/>
    </row>
    <row r="725" spans="1:30" x14ac:dyDescent="0.25">
      <c r="A725" s="255" t="s">
        <v>41</v>
      </c>
      <c r="B725" s="409" t="s">
        <v>671</v>
      </c>
      <c r="C725" s="285" t="s">
        <v>342</v>
      </c>
      <c r="D725" s="22">
        <f t="shared" si="177"/>
        <v>3464</v>
      </c>
      <c r="E725" s="22">
        <f t="shared" si="177"/>
        <v>0</v>
      </c>
      <c r="F725" s="22">
        <f t="shared" si="177"/>
        <v>0</v>
      </c>
      <c r="G725" s="65"/>
    </row>
    <row r="726" spans="1:30" ht="31.5" x14ac:dyDescent="0.25">
      <c r="A726" s="255" t="s">
        <v>119</v>
      </c>
      <c r="B726" s="409" t="s">
        <v>671</v>
      </c>
      <c r="C726" s="285" t="s">
        <v>343</v>
      </c>
      <c r="D726" s="22">
        <f>'Функц. 2025-2027'!F409</f>
        <v>3464</v>
      </c>
      <c r="E726" s="107">
        <f>'Функц. 2025-2027'!H409</f>
        <v>0</v>
      </c>
      <c r="F726" s="107">
        <f>'Функц. 2025-2027'!J409</f>
        <v>0</v>
      </c>
      <c r="G726" s="65"/>
    </row>
    <row r="727" spans="1:30" x14ac:dyDescent="0.25">
      <c r="A727" s="307" t="s">
        <v>639</v>
      </c>
      <c r="B727" s="359" t="s">
        <v>806</v>
      </c>
      <c r="C727" s="285"/>
      <c r="D727" s="22">
        <f t="shared" ref="D727:F729" si="178">D728</f>
        <v>35037.299999999996</v>
      </c>
      <c r="E727" s="22">
        <f t="shared" si="178"/>
        <v>40122.300000000003</v>
      </c>
      <c r="F727" s="22">
        <f t="shared" si="178"/>
        <v>41727.300000000003</v>
      </c>
      <c r="G727" s="65"/>
    </row>
    <row r="728" spans="1:30" x14ac:dyDescent="0.25">
      <c r="A728" s="307" t="s">
        <v>391</v>
      </c>
      <c r="B728" s="359" t="s">
        <v>776</v>
      </c>
      <c r="C728" s="285"/>
      <c r="D728" s="22">
        <f t="shared" si="178"/>
        <v>35037.299999999996</v>
      </c>
      <c r="E728" s="22">
        <f t="shared" si="178"/>
        <v>40122.300000000003</v>
      </c>
      <c r="F728" s="22">
        <f t="shared" si="178"/>
        <v>41727.300000000003</v>
      </c>
      <c r="G728" s="65"/>
    </row>
    <row r="729" spans="1:30" x14ac:dyDescent="0.25">
      <c r="A729" s="294" t="s">
        <v>118</v>
      </c>
      <c r="B729" s="359" t="s">
        <v>776</v>
      </c>
      <c r="C729" s="285" t="s">
        <v>36</v>
      </c>
      <c r="D729" s="22">
        <f t="shared" si="178"/>
        <v>35037.299999999996</v>
      </c>
      <c r="E729" s="22">
        <f t="shared" si="178"/>
        <v>40122.300000000003</v>
      </c>
      <c r="F729" s="22">
        <f t="shared" si="178"/>
        <v>41727.300000000003</v>
      </c>
      <c r="G729" s="65"/>
    </row>
    <row r="730" spans="1:30" x14ac:dyDescent="0.25">
      <c r="A730" s="294" t="s">
        <v>51</v>
      </c>
      <c r="B730" s="359" t="s">
        <v>776</v>
      </c>
      <c r="C730" s="285" t="s">
        <v>64</v>
      </c>
      <c r="D730" s="22">
        <f>'Функц. 2025-2027'!F574</f>
        <v>35037.299999999996</v>
      </c>
      <c r="E730" s="107">
        <f>'Функц. 2025-2027'!H574</f>
        <v>40122.300000000003</v>
      </c>
      <c r="F730" s="107">
        <f>'Функц. 2025-2027'!J574</f>
        <v>41727.300000000003</v>
      </c>
      <c r="G730" s="65"/>
    </row>
    <row r="731" spans="1:30" x14ac:dyDescent="0.25">
      <c r="A731" s="199" t="s">
        <v>187</v>
      </c>
      <c r="B731" s="116" t="s">
        <v>318</v>
      </c>
      <c r="C731" s="284"/>
      <c r="D731" s="22">
        <f t="shared" ref="D731:F732" si="179">D732</f>
        <v>29216.400000000001</v>
      </c>
      <c r="E731" s="22">
        <f t="shared" si="179"/>
        <v>28507.899999999998</v>
      </c>
      <c r="F731" s="22">
        <f t="shared" si="179"/>
        <v>28507.899999999998</v>
      </c>
      <c r="G731" s="65"/>
    </row>
    <row r="732" spans="1:30" ht="31.5" x14ac:dyDescent="0.25">
      <c r="A732" s="199" t="s">
        <v>189</v>
      </c>
      <c r="B732" s="116" t="s">
        <v>320</v>
      </c>
      <c r="C732" s="284"/>
      <c r="D732" s="22">
        <f t="shared" si="179"/>
        <v>29216.400000000001</v>
      </c>
      <c r="E732" s="22">
        <f t="shared" si="179"/>
        <v>28507.899999999998</v>
      </c>
      <c r="F732" s="22">
        <f t="shared" si="179"/>
        <v>28507.899999999998</v>
      </c>
      <c r="G732" s="65"/>
    </row>
    <row r="733" spans="1:30" x14ac:dyDescent="0.25">
      <c r="A733" s="200" t="s">
        <v>203</v>
      </c>
      <c r="B733" s="116" t="s">
        <v>539</v>
      </c>
      <c r="C733" s="284"/>
      <c r="D733" s="22">
        <f>D734+D739+D742</f>
        <v>29216.400000000001</v>
      </c>
      <c r="E733" s="107">
        <f>E734+E739+E742</f>
        <v>28507.899999999998</v>
      </c>
      <c r="F733" s="107">
        <f>F734+F739+F742</f>
        <v>28507.899999999998</v>
      </c>
      <c r="G733" s="65"/>
    </row>
    <row r="734" spans="1:30" ht="31.5" x14ac:dyDescent="0.25">
      <c r="A734" s="198" t="s">
        <v>204</v>
      </c>
      <c r="B734" s="116" t="s">
        <v>540</v>
      </c>
      <c r="C734" s="286"/>
      <c r="D734" s="22">
        <f>D735+D737</f>
        <v>2285.8999999999996</v>
      </c>
      <c r="E734" s="22">
        <f>E735+E737</f>
        <v>2325.6</v>
      </c>
      <c r="F734" s="22">
        <f>F735+F737</f>
        <v>2325.6</v>
      </c>
      <c r="G734" s="65"/>
    </row>
    <row r="735" spans="1:30" x14ac:dyDescent="0.25">
      <c r="A735" s="198" t="s">
        <v>118</v>
      </c>
      <c r="B735" s="116" t="s">
        <v>540</v>
      </c>
      <c r="C735" s="284">
        <v>200</v>
      </c>
      <c r="D735" s="22">
        <f>D736</f>
        <v>2280.7999999999997</v>
      </c>
      <c r="E735" s="107">
        <f>E736</f>
        <v>2325.6</v>
      </c>
      <c r="F735" s="107">
        <f>F736</f>
        <v>2325.6</v>
      </c>
      <c r="G735" s="65"/>
    </row>
    <row r="736" spans="1:30" x14ac:dyDescent="0.25">
      <c r="A736" s="198" t="s">
        <v>51</v>
      </c>
      <c r="B736" s="116" t="s">
        <v>540</v>
      </c>
      <c r="C736" s="284">
        <v>240</v>
      </c>
      <c r="D736" s="22">
        <f>'Функц. 2025-2027'!F595</f>
        <v>2280.7999999999997</v>
      </c>
      <c r="E736" s="107">
        <f>'Функц. 2025-2027'!H595</f>
        <v>2325.6</v>
      </c>
      <c r="F736" s="107">
        <f>'Функц. 2025-2027'!J595</f>
        <v>2325.6</v>
      </c>
      <c r="G736" s="65"/>
    </row>
    <row r="737" spans="1:7" x14ac:dyDescent="0.25">
      <c r="A737" s="294" t="s">
        <v>41</v>
      </c>
      <c r="B737" s="116" t="s">
        <v>540</v>
      </c>
      <c r="C737" s="284">
        <v>800</v>
      </c>
      <c r="D737" s="22">
        <f>D738</f>
        <v>5.0999999999999996</v>
      </c>
      <c r="E737" s="22">
        <f>E738</f>
        <v>0</v>
      </c>
      <c r="F737" s="22">
        <f>F738</f>
        <v>0</v>
      </c>
      <c r="G737" s="65"/>
    </row>
    <row r="738" spans="1:7" x14ac:dyDescent="0.25">
      <c r="A738" s="294" t="s">
        <v>56</v>
      </c>
      <c r="B738" s="116" t="s">
        <v>540</v>
      </c>
      <c r="C738" s="284">
        <v>850</v>
      </c>
      <c r="D738" s="22">
        <f>'Функц. 2025-2027'!F597</f>
        <v>5.0999999999999996</v>
      </c>
      <c r="E738" s="107">
        <f>'Функц. 2025-2027'!H597</f>
        <v>0</v>
      </c>
      <c r="F738" s="107">
        <f>'Функц. 2025-2027'!J597</f>
        <v>0</v>
      </c>
      <c r="G738" s="65"/>
    </row>
    <row r="739" spans="1:7" ht="31.5" x14ac:dyDescent="0.25">
      <c r="A739" s="198" t="s">
        <v>205</v>
      </c>
      <c r="B739" s="116" t="s">
        <v>541</v>
      </c>
      <c r="C739" s="286"/>
      <c r="D739" s="22">
        <f t="shared" ref="D739:F740" si="180">D740</f>
        <v>17192.5</v>
      </c>
      <c r="E739" s="107">
        <f t="shared" si="180"/>
        <v>16444.3</v>
      </c>
      <c r="F739" s="107">
        <f t="shared" si="180"/>
        <v>16444.3</v>
      </c>
      <c r="G739" s="65"/>
    </row>
    <row r="740" spans="1:7" ht="47.25" x14ac:dyDescent="0.25">
      <c r="A740" s="198" t="s">
        <v>40</v>
      </c>
      <c r="B740" s="116" t="s">
        <v>541</v>
      </c>
      <c r="C740" s="284">
        <v>100</v>
      </c>
      <c r="D740" s="22">
        <f t="shared" si="180"/>
        <v>17192.5</v>
      </c>
      <c r="E740" s="107">
        <f t="shared" si="180"/>
        <v>16444.3</v>
      </c>
      <c r="F740" s="107">
        <f t="shared" si="180"/>
        <v>16444.3</v>
      </c>
      <c r="G740" s="65"/>
    </row>
    <row r="741" spans="1:7" x14ac:dyDescent="0.25">
      <c r="A741" s="198" t="s">
        <v>94</v>
      </c>
      <c r="B741" s="116" t="s">
        <v>541</v>
      </c>
      <c r="C741" s="284">
        <v>120</v>
      </c>
      <c r="D741" s="22">
        <f>'Функц. 2025-2027'!F600</f>
        <v>17192.5</v>
      </c>
      <c r="E741" s="107">
        <f>'Функц. 2025-2027'!H600</f>
        <v>16444.3</v>
      </c>
      <c r="F741" s="107">
        <f>'Функц. 2025-2027'!J600</f>
        <v>16444.3</v>
      </c>
      <c r="G741" s="65"/>
    </row>
    <row r="742" spans="1:7" ht="31.5" x14ac:dyDescent="0.25">
      <c r="A742" s="198" t="s">
        <v>206</v>
      </c>
      <c r="B742" s="116" t="s">
        <v>542</v>
      </c>
      <c r="C742" s="286"/>
      <c r="D742" s="22">
        <f t="shared" ref="D742:F743" si="181">D743</f>
        <v>9738</v>
      </c>
      <c r="E742" s="107">
        <f t="shared" si="181"/>
        <v>9738</v>
      </c>
      <c r="F742" s="107">
        <f t="shared" si="181"/>
        <v>9738</v>
      </c>
      <c r="G742" s="65"/>
    </row>
    <row r="743" spans="1:7" ht="47.25" x14ac:dyDescent="0.25">
      <c r="A743" s="198" t="s">
        <v>40</v>
      </c>
      <c r="B743" s="116" t="s">
        <v>542</v>
      </c>
      <c r="C743" s="284">
        <v>100</v>
      </c>
      <c r="D743" s="22">
        <f t="shared" si="181"/>
        <v>9738</v>
      </c>
      <c r="E743" s="107">
        <f t="shared" si="181"/>
        <v>9738</v>
      </c>
      <c r="F743" s="107">
        <f t="shared" si="181"/>
        <v>9738</v>
      </c>
      <c r="G743" s="65"/>
    </row>
    <row r="744" spans="1:7" x14ac:dyDescent="0.25">
      <c r="A744" s="198" t="s">
        <v>94</v>
      </c>
      <c r="B744" s="116" t="s">
        <v>542</v>
      </c>
      <c r="C744" s="284">
        <v>120</v>
      </c>
      <c r="D744" s="22">
        <f>'Функц. 2025-2027'!F603</f>
        <v>9738</v>
      </c>
      <c r="E744" s="107">
        <f>'Функц. 2025-2027'!H603</f>
        <v>9738</v>
      </c>
      <c r="F744" s="107">
        <f>'Функц. 2025-2027'!J603</f>
        <v>9738</v>
      </c>
      <c r="G744" s="65"/>
    </row>
    <row r="745" spans="1:7" x14ac:dyDescent="0.25">
      <c r="A745" s="264" t="s">
        <v>630</v>
      </c>
      <c r="B745" s="411" t="s">
        <v>620</v>
      </c>
      <c r="C745" s="338"/>
      <c r="D745" s="24">
        <f>D746</f>
        <v>675.3</v>
      </c>
      <c r="E745" s="24">
        <f t="shared" ref="E745:F749" si="182">E746</f>
        <v>0</v>
      </c>
      <c r="F745" s="24">
        <f t="shared" si="182"/>
        <v>0</v>
      </c>
      <c r="G745" s="65"/>
    </row>
    <row r="746" spans="1:7" ht="36" customHeight="1" x14ac:dyDescent="0.25">
      <c r="A746" s="198" t="s">
        <v>712</v>
      </c>
      <c r="B746" s="116" t="s">
        <v>713</v>
      </c>
      <c r="C746" s="285"/>
      <c r="D746" s="22">
        <f>D747</f>
        <v>675.3</v>
      </c>
      <c r="E746" s="22">
        <f t="shared" si="182"/>
        <v>0</v>
      </c>
      <c r="F746" s="22">
        <f t="shared" si="182"/>
        <v>0</v>
      </c>
      <c r="G746" s="65"/>
    </row>
    <row r="747" spans="1:7" x14ac:dyDescent="0.25">
      <c r="A747" s="199" t="s">
        <v>714</v>
      </c>
      <c r="B747" s="116" t="s">
        <v>715</v>
      </c>
      <c r="C747" s="285"/>
      <c r="D747" s="22">
        <f>D748</f>
        <v>675.3</v>
      </c>
      <c r="E747" s="22">
        <f t="shared" si="182"/>
        <v>0</v>
      </c>
      <c r="F747" s="22">
        <f t="shared" si="182"/>
        <v>0</v>
      </c>
      <c r="G747" s="65"/>
    </row>
    <row r="748" spans="1:7" ht="34.5" customHeight="1" x14ac:dyDescent="0.25">
      <c r="A748" s="199" t="s">
        <v>716</v>
      </c>
      <c r="B748" s="116" t="s">
        <v>717</v>
      </c>
      <c r="C748" s="285"/>
      <c r="D748" s="22">
        <f>D749</f>
        <v>675.3</v>
      </c>
      <c r="E748" s="22">
        <f t="shared" si="182"/>
        <v>0</v>
      </c>
      <c r="F748" s="22">
        <f t="shared" si="182"/>
        <v>0</v>
      </c>
      <c r="G748" s="65"/>
    </row>
    <row r="749" spans="1:7" x14ac:dyDescent="0.25">
      <c r="A749" s="198" t="s">
        <v>118</v>
      </c>
      <c r="B749" s="116" t="s">
        <v>717</v>
      </c>
      <c r="C749" s="285" t="s">
        <v>36</v>
      </c>
      <c r="D749" s="22">
        <f>D750</f>
        <v>675.3</v>
      </c>
      <c r="E749" s="22">
        <f t="shared" si="182"/>
        <v>0</v>
      </c>
      <c r="F749" s="22">
        <f t="shared" si="182"/>
        <v>0</v>
      </c>
      <c r="G749" s="65"/>
    </row>
    <row r="750" spans="1:7" x14ac:dyDescent="0.25">
      <c r="A750" s="198" t="s">
        <v>51</v>
      </c>
      <c r="B750" s="116" t="s">
        <v>717</v>
      </c>
      <c r="C750" s="285" t="s">
        <v>64</v>
      </c>
      <c r="D750" s="22">
        <f>'Функц. 2025-2027'!F415</f>
        <v>675.3</v>
      </c>
      <c r="E750" s="107">
        <f>'Функц. 2025-2027'!H415</f>
        <v>0</v>
      </c>
      <c r="F750" s="107">
        <f>'Функц. 2025-2027'!J415</f>
        <v>0</v>
      </c>
      <c r="G750" s="65"/>
    </row>
    <row r="751" spans="1:7" x14ac:dyDescent="0.25">
      <c r="A751" s="267" t="s">
        <v>344</v>
      </c>
      <c r="B751" s="116"/>
      <c r="C751" s="403"/>
      <c r="D751" s="24">
        <f>D652+D646+D627+D597+D556+D444+D378+D359+D283+D269+D247+D208+D94+D19+D745+D277+D13+D438</f>
        <v>5341307.5999999996</v>
      </c>
      <c r="E751" s="24">
        <f>E652+E646+E627+E597+E556+E444+E378+E359+E283+E269+E247+E208+E94+E19+E745+E277+E13+E438</f>
        <v>3326656.0999999996</v>
      </c>
      <c r="F751" s="24">
        <f>F652+F646+F627+F597+F556+F444+F378+F359+F283+F269+F247+F208+F94+F19+F745+F277+F13+F438</f>
        <v>3158981.1999999997</v>
      </c>
      <c r="G751" s="65"/>
    </row>
    <row r="752" spans="1:7" ht="31.5" x14ac:dyDescent="0.25">
      <c r="A752" s="262" t="s">
        <v>272</v>
      </c>
      <c r="B752" s="411" t="s">
        <v>97</v>
      </c>
      <c r="C752" s="398"/>
      <c r="D752" s="24">
        <f>D753+D756+D759+G762+D769</f>
        <v>30728.7</v>
      </c>
      <c r="E752" s="24">
        <f>E753+E756+E759+H762+E769</f>
        <v>27504.300000000003</v>
      </c>
      <c r="F752" s="24">
        <f>F753+F756+F759+I762+F769</f>
        <v>27504.300000000003</v>
      </c>
      <c r="G752" s="65"/>
    </row>
    <row r="753" spans="1:7" x14ac:dyDescent="0.25">
      <c r="A753" s="268" t="s">
        <v>279</v>
      </c>
      <c r="B753" s="116" t="s">
        <v>282</v>
      </c>
      <c r="C753" s="284"/>
      <c r="D753" s="22">
        <f t="shared" ref="D753:F754" si="183">D754</f>
        <v>3646</v>
      </c>
      <c r="E753" s="22">
        <f t="shared" si="183"/>
        <v>2936</v>
      </c>
      <c r="F753" s="22">
        <f t="shared" si="183"/>
        <v>2936</v>
      </c>
      <c r="G753" s="65"/>
    </row>
    <row r="754" spans="1:7" ht="47.25" x14ac:dyDescent="0.25">
      <c r="A754" s="198" t="s">
        <v>40</v>
      </c>
      <c r="B754" s="116" t="s">
        <v>282</v>
      </c>
      <c r="C754" s="271">
        <v>100</v>
      </c>
      <c r="D754" s="22">
        <f t="shared" si="183"/>
        <v>3646</v>
      </c>
      <c r="E754" s="22">
        <f t="shared" si="183"/>
        <v>2936</v>
      </c>
      <c r="F754" s="22">
        <f t="shared" si="183"/>
        <v>2936</v>
      </c>
      <c r="G754" s="65"/>
    </row>
    <row r="755" spans="1:7" x14ac:dyDescent="0.25">
      <c r="A755" s="198" t="s">
        <v>94</v>
      </c>
      <c r="B755" s="116" t="s">
        <v>282</v>
      </c>
      <c r="C755" s="284">
        <v>120</v>
      </c>
      <c r="D755" s="22">
        <f>'Функц. 2025-2027'!F33</f>
        <v>3646</v>
      </c>
      <c r="E755" s="22">
        <f>'Функц. 2025-2027'!H33</f>
        <v>2936</v>
      </c>
      <c r="F755" s="22">
        <f>'Функц. 2025-2027'!J33</f>
        <v>2936</v>
      </c>
      <c r="G755" s="65"/>
    </row>
    <row r="756" spans="1:7" x14ac:dyDescent="0.25">
      <c r="A756" s="198" t="s">
        <v>325</v>
      </c>
      <c r="B756" s="116" t="s">
        <v>283</v>
      </c>
      <c r="C756" s="284"/>
      <c r="D756" s="22">
        <f t="shared" ref="D756:F757" si="184">D757</f>
        <v>2533.5</v>
      </c>
      <c r="E756" s="22">
        <f t="shared" si="184"/>
        <v>2279.5</v>
      </c>
      <c r="F756" s="22">
        <f t="shared" si="184"/>
        <v>2279.5</v>
      </c>
      <c r="G756" s="65"/>
    </row>
    <row r="757" spans="1:7" ht="47.25" x14ac:dyDescent="0.25">
      <c r="A757" s="198" t="s">
        <v>40</v>
      </c>
      <c r="B757" s="116" t="s">
        <v>283</v>
      </c>
      <c r="C757" s="271">
        <v>100</v>
      </c>
      <c r="D757" s="22">
        <f t="shared" si="184"/>
        <v>2533.5</v>
      </c>
      <c r="E757" s="22">
        <f t="shared" si="184"/>
        <v>2279.5</v>
      </c>
      <c r="F757" s="22">
        <f t="shared" si="184"/>
        <v>2279.5</v>
      </c>
      <c r="G757" s="65"/>
    </row>
    <row r="758" spans="1:7" x14ac:dyDescent="0.25">
      <c r="A758" s="198" t="s">
        <v>94</v>
      </c>
      <c r="B758" s="116" t="s">
        <v>283</v>
      </c>
      <c r="C758" s="284">
        <v>120</v>
      </c>
      <c r="D758" s="22">
        <f>'Функц. 2025-2027'!F36</f>
        <v>2533.5</v>
      </c>
      <c r="E758" s="22">
        <f>'Функц. 2025-2027'!H36</f>
        <v>2279.5</v>
      </c>
      <c r="F758" s="22">
        <f>'Функц. 2025-2027'!J36</f>
        <v>2279.5</v>
      </c>
      <c r="G758" s="65"/>
    </row>
    <row r="759" spans="1:7" x14ac:dyDescent="0.25">
      <c r="A759" s="200" t="s">
        <v>280</v>
      </c>
      <c r="B759" s="116" t="s">
        <v>281</v>
      </c>
      <c r="C759" s="284"/>
      <c r="D759" s="22">
        <f>D760+D763+D766</f>
        <v>13409.8</v>
      </c>
      <c r="E759" s="22">
        <f>E760+E763+E766</f>
        <v>11525.4</v>
      </c>
      <c r="F759" s="22">
        <f>F760+F763+F766</f>
        <v>11525.4</v>
      </c>
      <c r="G759" s="65"/>
    </row>
    <row r="760" spans="1:7" ht="31.5" x14ac:dyDescent="0.25">
      <c r="A760" s="198" t="s">
        <v>284</v>
      </c>
      <c r="B760" s="116" t="s">
        <v>285</v>
      </c>
      <c r="C760" s="284"/>
      <c r="D760" s="22">
        <f t="shared" ref="D760:F761" si="185">D761</f>
        <v>3285.4</v>
      </c>
      <c r="E760" s="22">
        <f t="shared" si="185"/>
        <v>1849.9</v>
      </c>
      <c r="F760" s="22">
        <f t="shared" si="185"/>
        <v>1849.9</v>
      </c>
      <c r="G760" s="65"/>
    </row>
    <row r="761" spans="1:7" x14ac:dyDescent="0.25">
      <c r="A761" s="198" t="s">
        <v>118</v>
      </c>
      <c r="B761" s="116" t="s">
        <v>285</v>
      </c>
      <c r="C761" s="284">
        <v>200</v>
      </c>
      <c r="D761" s="22">
        <f t="shared" si="185"/>
        <v>3285.4</v>
      </c>
      <c r="E761" s="22">
        <f t="shared" si="185"/>
        <v>1849.9</v>
      </c>
      <c r="F761" s="22">
        <f t="shared" si="185"/>
        <v>1849.9</v>
      </c>
      <c r="G761" s="65"/>
    </row>
    <row r="762" spans="1:7" x14ac:dyDescent="0.25">
      <c r="A762" s="198" t="s">
        <v>51</v>
      </c>
      <c r="B762" s="116" t="s">
        <v>285</v>
      </c>
      <c r="C762" s="284">
        <v>240</v>
      </c>
      <c r="D762" s="22">
        <f>'Функц. 2025-2027'!F40</f>
        <v>3285.4</v>
      </c>
      <c r="E762" s="22">
        <f>'Функц. 2025-2027'!H40</f>
        <v>1849.9</v>
      </c>
      <c r="F762" s="22">
        <f>'Функц. 2025-2027'!J40</f>
        <v>1849.9</v>
      </c>
      <c r="G762" s="65"/>
    </row>
    <row r="763" spans="1:7" ht="47.25" x14ac:dyDescent="0.25">
      <c r="A763" s="255" t="s">
        <v>288</v>
      </c>
      <c r="B763" s="116" t="s">
        <v>286</v>
      </c>
      <c r="C763" s="284"/>
      <c r="D763" s="22">
        <f t="shared" ref="D763:F764" si="186">D764</f>
        <v>5228</v>
      </c>
      <c r="E763" s="22">
        <f t="shared" si="186"/>
        <v>4779.1000000000004</v>
      </c>
      <c r="F763" s="22">
        <f t="shared" si="186"/>
        <v>4779.1000000000004</v>
      </c>
      <c r="G763" s="65"/>
    </row>
    <row r="764" spans="1:7" ht="47.25" x14ac:dyDescent="0.25">
      <c r="A764" s="198" t="s">
        <v>40</v>
      </c>
      <c r="B764" s="116" t="s">
        <v>286</v>
      </c>
      <c r="C764" s="271">
        <v>100</v>
      </c>
      <c r="D764" s="22">
        <f t="shared" si="186"/>
        <v>5228</v>
      </c>
      <c r="E764" s="22">
        <f t="shared" si="186"/>
        <v>4779.1000000000004</v>
      </c>
      <c r="F764" s="22">
        <f t="shared" si="186"/>
        <v>4779.1000000000004</v>
      </c>
      <c r="G764" s="65"/>
    </row>
    <row r="765" spans="1:7" x14ac:dyDescent="0.25">
      <c r="A765" s="198" t="s">
        <v>94</v>
      </c>
      <c r="B765" s="116" t="s">
        <v>286</v>
      </c>
      <c r="C765" s="284">
        <v>120</v>
      </c>
      <c r="D765" s="22">
        <f>'Функц. 2025-2027'!F43</f>
        <v>5228</v>
      </c>
      <c r="E765" s="22">
        <f>'Функц. 2025-2027'!H43</f>
        <v>4779.1000000000004</v>
      </c>
      <c r="F765" s="22">
        <f>'Функц. 2025-2027'!J43</f>
        <v>4779.1000000000004</v>
      </c>
      <c r="G765" s="65"/>
    </row>
    <row r="766" spans="1:7" ht="31.5" x14ac:dyDescent="0.25">
      <c r="A766" s="198" t="s">
        <v>289</v>
      </c>
      <c r="B766" s="116" t="s">
        <v>287</v>
      </c>
      <c r="C766" s="284"/>
      <c r="D766" s="22">
        <f t="shared" ref="D766:F767" si="187">D767</f>
        <v>4896.3999999999996</v>
      </c>
      <c r="E766" s="22">
        <f t="shared" si="187"/>
        <v>4896.3999999999996</v>
      </c>
      <c r="F766" s="22">
        <f t="shared" si="187"/>
        <v>4896.3999999999996</v>
      </c>
      <c r="G766" s="65"/>
    </row>
    <row r="767" spans="1:7" ht="47.25" x14ac:dyDescent="0.25">
      <c r="A767" s="198" t="s">
        <v>40</v>
      </c>
      <c r="B767" s="116" t="s">
        <v>287</v>
      </c>
      <c r="C767" s="271">
        <v>100</v>
      </c>
      <c r="D767" s="22">
        <f t="shared" si="187"/>
        <v>4896.3999999999996</v>
      </c>
      <c r="E767" s="22">
        <f t="shared" si="187"/>
        <v>4896.3999999999996</v>
      </c>
      <c r="F767" s="22">
        <f t="shared" si="187"/>
        <v>4896.3999999999996</v>
      </c>
      <c r="G767" s="65"/>
    </row>
    <row r="768" spans="1:7" x14ac:dyDescent="0.25">
      <c r="A768" s="198" t="s">
        <v>94</v>
      </c>
      <c r="B768" s="116" t="s">
        <v>287</v>
      </c>
      <c r="C768" s="284">
        <v>120</v>
      </c>
      <c r="D768" s="22">
        <f>'Функц. 2025-2027'!F46</f>
        <v>4896.3999999999996</v>
      </c>
      <c r="E768" s="22">
        <f>'Функц. 2025-2027'!H46</f>
        <v>4896.3999999999996</v>
      </c>
      <c r="F768" s="22">
        <f>'Функц. 2025-2027'!J46</f>
        <v>4896.3999999999996</v>
      </c>
      <c r="G768" s="65"/>
    </row>
    <row r="769" spans="1:30" x14ac:dyDescent="0.25">
      <c r="A769" s="200" t="s">
        <v>270</v>
      </c>
      <c r="B769" s="116" t="s">
        <v>271</v>
      </c>
      <c r="C769" s="284"/>
      <c r="D769" s="22">
        <f>D770+D773+D776+D779</f>
        <v>11139.400000000001</v>
      </c>
      <c r="E769" s="22">
        <f>E770+E773+E776+E779</f>
        <v>10763.400000000001</v>
      </c>
      <c r="F769" s="22">
        <f>F770+F773+F776+F779</f>
        <v>10763.400000000001</v>
      </c>
      <c r="G769" s="65"/>
    </row>
    <row r="770" spans="1:30" x14ac:dyDescent="0.25">
      <c r="A770" s="198" t="s">
        <v>273</v>
      </c>
      <c r="B770" s="116" t="s">
        <v>274</v>
      </c>
      <c r="C770" s="284"/>
      <c r="D770" s="22">
        <f t="shared" ref="D770:F771" si="188">D771</f>
        <v>1311.2</v>
      </c>
      <c r="E770" s="22">
        <f t="shared" si="188"/>
        <v>1348.2</v>
      </c>
      <c r="F770" s="22">
        <f t="shared" si="188"/>
        <v>1348.2</v>
      </c>
      <c r="G770" s="65"/>
    </row>
    <row r="771" spans="1:30" x14ac:dyDescent="0.25">
      <c r="A771" s="198" t="s">
        <v>118</v>
      </c>
      <c r="B771" s="116" t="s">
        <v>274</v>
      </c>
      <c r="C771" s="284">
        <v>200</v>
      </c>
      <c r="D771" s="22">
        <f t="shared" si="188"/>
        <v>1311.2</v>
      </c>
      <c r="E771" s="22">
        <f t="shared" si="188"/>
        <v>1348.2</v>
      </c>
      <c r="F771" s="22">
        <f t="shared" si="188"/>
        <v>1348.2</v>
      </c>
      <c r="G771" s="65"/>
    </row>
    <row r="772" spans="1:30" x14ac:dyDescent="0.25">
      <c r="A772" s="198" t="s">
        <v>51</v>
      </c>
      <c r="B772" s="116" t="s">
        <v>274</v>
      </c>
      <c r="C772" s="284">
        <v>240</v>
      </c>
      <c r="D772" s="22">
        <f>'Функц. 2025-2027'!F112</f>
        <v>1311.2</v>
      </c>
      <c r="E772" s="22">
        <f>'Функц. 2025-2027'!H112</f>
        <v>1348.2</v>
      </c>
      <c r="F772" s="22">
        <f>'Функц. 2025-2027'!J112</f>
        <v>1348.2</v>
      </c>
      <c r="G772" s="65"/>
    </row>
    <row r="773" spans="1:30" ht="31.5" x14ac:dyDescent="0.25">
      <c r="A773" s="198" t="s">
        <v>543</v>
      </c>
      <c r="B773" s="116" t="s">
        <v>276</v>
      </c>
      <c r="C773" s="284"/>
      <c r="D773" s="22">
        <f t="shared" ref="D773:F774" si="189">D774</f>
        <v>2423.4</v>
      </c>
      <c r="E773" s="22">
        <f t="shared" si="189"/>
        <v>2423.4</v>
      </c>
      <c r="F773" s="22">
        <f t="shared" si="189"/>
        <v>2423.4</v>
      </c>
      <c r="G773" s="65"/>
    </row>
    <row r="774" spans="1:30" ht="47.25" x14ac:dyDescent="0.25">
      <c r="A774" s="198" t="s">
        <v>40</v>
      </c>
      <c r="B774" s="116" t="s">
        <v>276</v>
      </c>
      <c r="C774" s="284">
        <v>100</v>
      </c>
      <c r="D774" s="22">
        <f t="shared" si="189"/>
        <v>2423.4</v>
      </c>
      <c r="E774" s="22">
        <f t="shared" si="189"/>
        <v>2423.4</v>
      </c>
      <c r="F774" s="22">
        <f t="shared" si="189"/>
        <v>2423.4</v>
      </c>
      <c r="G774" s="65"/>
    </row>
    <row r="775" spans="1:30" x14ac:dyDescent="0.25">
      <c r="A775" s="198" t="s">
        <v>94</v>
      </c>
      <c r="B775" s="116" t="s">
        <v>276</v>
      </c>
      <c r="C775" s="284">
        <v>120</v>
      </c>
      <c r="D775" s="22">
        <f>'Функц. 2025-2027'!F115</f>
        <v>2423.4</v>
      </c>
      <c r="E775" s="22">
        <f>'Функц. 2025-2027'!H115</f>
        <v>2423.4</v>
      </c>
      <c r="F775" s="22">
        <f>'Функц. 2025-2027'!J115</f>
        <v>2423.4</v>
      </c>
      <c r="G775" s="65"/>
    </row>
    <row r="776" spans="1:30" ht="31.5" x14ac:dyDescent="0.25">
      <c r="A776" s="198" t="s">
        <v>278</v>
      </c>
      <c r="B776" s="116" t="s">
        <v>277</v>
      </c>
      <c r="C776" s="284"/>
      <c r="D776" s="22">
        <f t="shared" ref="D776:F777" si="190">D777</f>
        <v>4460</v>
      </c>
      <c r="E776" s="22">
        <f t="shared" si="190"/>
        <v>4460</v>
      </c>
      <c r="F776" s="22">
        <f t="shared" si="190"/>
        <v>4460</v>
      </c>
      <c r="G776" s="65"/>
    </row>
    <row r="777" spans="1:30" ht="47.25" x14ac:dyDescent="0.25">
      <c r="A777" s="198" t="s">
        <v>40</v>
      </c>
      <c r="B777" s="116" t="s">
        <v>277</v>
      </c>
      <c r="C777" s="284">
        <v>100</v>
      </c>
      <c r="D777" s="22">
        <f t="shared" si="190"/>
        <v>4460</v>
      </c>
      <c r="E777" s="22">
        <f t="shared" si="190"/>
        <v>4460</v>
      </c>
      <c r="F777" s="22">
        <f t="shared" si="190"/>
        <v>4460</v>
      </c>
      <c r="G777" s="65"/>
    </row>
    <row r="778" spans="1:30" x14ac:dyDescent="0.25">
      <c r="A778" s="198" t="s">
        <v>94</v>
      </c>
      <c r="B778" s="116" t="s">
        <v>277</v>
      </c>
      <c r="C778" s="284">
        <v>120</v>
      </c>
      <c r="D778" s="22">
        <f>'Функц. 2025-2027'!F118</f>
        <v>4460</v>
      </c>
      <c r="E778" s="22">
        <f>'Функц. 2025-2027'!H118</f>
        <v>4460</v>
      </c>
      <c r="F778" s="22">
        <f>'Функц. 2025-2027'!J118</f>
        <v>4460</v>
      </c>
      <c r="G778" s="65"/>
    </row>
    <row r="779" spans="1:30" ht="31.5" x14ac:dyDescent="0.25">
      <c r="A779" s="255" t="s">
        <v>398</v>
      </c>
      <c r="B779" s="116" t="s">
        <v>399</v>
      </c>
      <c r="C779" s="284"/>
      <c r="D779" s="22">
        <f t="shared" ref="D779:F780" si="191">D780</f>
        <v>2944.8</v>
      </c>
      <c r="E779" s="22">
        <f t="shared" si="191"/>
        <v>2531.8000000000002</v>
      </c>
      <c r="F779" s="22">
        <f t="shared" si="191"/>
        <v>2531.8000000000002</v>
      </c>
      <c r="G779" s="65"/>
    </row>
    <row r="780" spans="1:30" ht="47.25" x14ac:dyDescent="0.25">
      <c r="A780" s="252" t="s">
        <v>40</v>
      </c>
      <c r="B780" s="116" t="s">
        <v>399</v>
      </c>
      <c r="C780" s="284">
        <v>100</v>
      </c>
      <c r="D780" s="22">
        <f t="shared" si="191"/>
        <v>2944.8</v>
      </c>
      <c r="E780" s="22">
        <f t="shared" si="191"/>
        <v>2531.8000000000002</v>
      </c>
      <c r="F780" s="22">
        <f t="shared" si="191"/>
        <v>2531.8000000000002</v>
      </c>
      <c r="G780" s="65"/>
    </row>
    <row r="781" spans="1:30" x14ac:dyDescent="0.25">
      <c r="A781" s="252" t="s">
        <v>94</v>
      </c>
      <c r="B781" s="116" t="s">
        <v>399</v>
      </c>
      <c r="C781" s="284">
        <v>120</v>
      </c>
      <c r="D781" s="22">
        <f>'Функц. 2025-2027'!F121</f>
        <v>2944.8</v>
      </c>
      <c r="E781" s="22">
        <f>'Функц. 2025-2027'!H121</f>
        <v>2531.8000000000002</v>
      </c>
      <c r="F781" s="22">
        <f>'Функц. 2025-2027'!J121</f>
        <v>2531.8000000000002</v>
      </c>
      <c r="G781" s="65"/>
    </row>
    <row r="782" spans="1:30" x14ac:dyDescent="0.25">
      <c r="A782" s="264" t="s">
        <v>328</v>
      </c>
      <c r="B782" s="202" t="s">
        <v>135</v>
      </c>
      <c r="C782" s="398"/>
      <c r="D782" s="24">
        <f>D795+D792+D783+D789+D805+D808+D786</f>
        <v>28537.9</v>
      </c>
      <c r="E782" s="24">
        <f t="shared" ref="E782:F782" si="192">E795+E792+E783+E789+E805+E808+E786</f>
        <v>1505.8999999999996</v>
      </c>
      <c r="F782" s="24">
        <f t="shared" si="192"/>
        <v>2562.7000000000003</v>
      </c>
      <c r="G782" s="24" t="e">
        <f>#REF!+G795+G792+G783+G789</f>
        <v>#REF!</v>
      </c>
      <c r="H782" s="24" t="e">
        <f>#REF!+H795+H792+H783+H789</f>
        <v>#REF!</v>
      </c>
      <c r="I782" s="24" t="e">
        <f>#REF!+I795+I792+I783+I789</f>
        <v>#REF!</v>
      </c>
      <c r="J782" s="24" t="e">
        <f>#REF!+J795+J792+J783+J789</f>
        <v>#REF!</v>
      </c>
      <c r="K782" s="24" t="e">
        <f>#REF!+K795+K792+K783+K789</f>
        <v>#REF!</v>
      </c>
      <c r="L782" s="24" t="e">
        <f>#REF!+L795+L792+L783+L789</f>
        <v>#REF!</v>
      </c>
      <c r="M782" s="24" t="e">
        <f>#REF!+M795+M792+M783+M789</f>
        <v>#REF!</v>
      </c>
      <c r="N782" s="24" t="e">
        <f>#REF!+N795+N792+N783+N789</f>
        <v>#REF!</v>
      </c>
      <c r="O782" s="24" t="e">
        <f>#REF!+O795+O792+O783+O789</f>
        <v>#REF!</v>
      </c>
      <c r="P782" s="24" t="e">
        <f>#REF!+P795+P792+P783+P789</f>
        <v>#REF!</v>
      </c>
      <c r="Q782" s="24" t="e">
        <f>#REF!+Q795+Q792+Q783+Q789</f>
        <v>#REF!</v>
      </c>
      <c r="R782" s="24" t="e">
        <f>#REF!+R795+R792+R783+R789</f>
        <v>#REF!</v>
      </c>
      <c r="S782" s="24" t="e">
        <f>#REF!+S795+S792+S783+S789</f>
        <v>#REF!</v>
      </c>
      <c r="T782" s="24" t="e">
        <f>#REF!+T795+T792+T783+T789</f>
        <v>#REF!</v>
      </c>
      <c r="U782" s="24" t="e">
        <f>#REF!+U795+U792+U783+U789</f>
        <v>#REF!</v>
      </c>
      <c r="V782" s="24" t="e">
        <f>#REF!+V795+V792+V783+V789</f>
        <v>#REF!</v>
      </c>
      <c r="W782" s="24" t="e">
        <f>#REF!+W795+W792+W783+W789</f>
        <v>#REF!</v>
      </c>
      <c r="X782" s="24" t="e">
        <f>#REF!+X795+X792+X783+X789</f>
        <v>#REF!</v>
      </c>
      <c r="Y782" s="24" t="e">
        <f>#REF!+Y795+Y792+Y783+Y789</f>
        <v>#REF!</v>
      </c>
      <c r="Z782" s="24" t="e">
        <f>#REF!+Z795+Z792+Z783+Z789</f>
        <v>#REF!</v>
      </c>
      <c r="AA782" s="24" t="e">
        <f>#REF!+AA795+AA792+AA783+AA789</f>
        <v>#REF!</v>
      </c>
      <c r="AB782" s="24" t="e">
        <f>#REF!+AB795+AB792+AB783+AB789</f>
        <v>#REF!</v>
      </c>
      <c r="AC782" s="24" t="e">
        <f>#REF!+AC795+AC792+AC783+AC789</f>
        <v>#REF!</v>
      </c>
      <c r="AD782" s="24" t="e">
        <f>#REF!+AD795+AD792+AD783+AD789</f>
        <v>#REF!</v>
      </c>
    </row>
    <row r="783" spans="1:30" x14ac:dyDescent="0.25">
      <c r="A783" s="255" t="s">
        <v>603</v>
      </c>
      <c r="B783" s="116" t="s">
        <v>604</v>
      </c>
      <c r="C783" s="398"/>
      <c r="D783" s="22">
        <f t="shared" ref="D783:F784" si="193">D784</f>
        <v>4837.3999999999996</v>
      </c>
      <c r="E783" s="22">
        <f t="shared" si="193"/>
        <v>0</v>
      </c>
      <c r="F783" s="22">
        <f t="shared" si="193"/>
        <v>0</v>
      </c>
      <c r="G783" s="65"/>
    </row>
    <row r="784" spans="1:30" x14ac:dyDescent="0.25">
      <c r="A784" s="255" t="s">
        <v>41</v>
      </c>
      <c r="B784" s="116" t="s">
        <v>604</v>
      </c>
      <c r="C784" s="284">
        <v>800</v>
      </c>
      <c r="D784" s="22">
        <f t="shared" si="193"/>
        <v>4837.3999999999996</v>
      </c>
      <c r="E784" s="22">
        <f t="shared" si="193"/>
        <v>0</v>
      </c>
      <c r="F784" s="22">
        <f t="shared" si="193"/>
        <v>0</v>
      </c>
      <c r="G784" s="65"/>
    </row>
    <row r="785" spans="1:30" x14ac:dyDescent="0.25">
      <c r="A785" s="255" t="s">
        <v>610</v>
      </c>
      <c r="B785" s="116" t="s">
        <v>604</v>
      </c>
      <c r="C785" s="284">
        <v>880</v>
      </c>
      <c r="D785" s="22">
        <f>'Функц. 2025-2027'!F126</f>
        <v>4837.3999999999996</v>
      </c>
      <c r="E785" s="22">
        <f>'Функц. 2025-2027'!H126</f>
        <v>0</v>
      </c>
      <c r="F785" s="22">
        <f>'Функц. 2025-2027'!J126</f>
        <v>0</v>
      </c>
      <c r="G785" s="65"/>
    </row>
    <row r="786" spans="1:30" ht="31.5" x14ac:dyDescent="0.25">
      <c r="A786" s="307" t="s">
        <v>905</v>
      </c>
      <c r="B786" s="348" t="s">
        <v>906</v>
      </c>
      <c r="C786" s="297"/>
      <c r="D786" s="22">
        <f>D787</f>
        <v>1000</v>
      </c>
      <c r="E786" s="22">
        <f t="shared" ref="E786:F786" si="194">E787</f>
        <v>0</v>
      </c>
      <c r="F786" s="22">
        <f t="shared" si="194"/>
        <v>0</v>
      </c>
      <c r="G786" s="65"/>
    </row>
    <row r="787" spans="1:30" x14ac:dyDescent="0.25">
      <c r="A787" s="294" t="s">
        <v>41</v>
      </c>
      <c r="B787" s="348" t="s">
        <v>906</v>
      </c>
      <c r="C787" s="297">
        <v>800</v>
      </c>
      <c r="D787" s="22">
        <f>D788</f>
        <v>1000</v>
      </c>
      <c r="E787" s="22">
        <f t="shared" ref="E787:F787" si="195">E788</f>
        <v>0</v>
      </c>
      <c r="F787" s="22">
        <f t="shared" si="195"/>
        <v>0</v>
      </c>
      <c r="G787" s="65"/>
    </row>
    <row r="788" spans="1:30" x14ac:dyDescent="0.25">
      <c r="A788" s="294" t="s">
        <v>134</v>
      </c>
      <c r="B788" s="348" t="s">
        <v>906</v>
      </c>
      <c r="C788" s="297">
        <v>870</v>
      </c>
      <c r="D788" s="22">
        <f>'Функц. 2025-2027'!F131</f>
        <v>1000</v>
      </c>
      <c r="E788" s="22">
        <v>0</v>
      </c>
      <c r="F788" s="22">
        <v>0</v>
      </c>
      <c r="G788" s="65"/>
    </row>
    <row r="789" spans="1:30" x14ac:dyDescent="0.25">
      <c r="A789" s="294" t="s">
        <v>778</v>
      </c>
      <c r="B789" s="348" t="s">
        <v>779</v>
      </c>
      <c r="C789" s="297"/>
      <c r="D789" s="22">
        <f t="shared" ref="D789:F790" si="196">D790</f>
        <v>447.6</v>
      </c>
      <c r="E789" s="22">
        <f t="shared" si="196"/>
        <v>0</v>
      </c>
      <c r="F789" s="22">
        <f t="shared" si="196"/>
        <v>0</v>
      </c>
      <c r="G789" s="65"/>
    </row>
    <row r="790" spans="1:30" x14ac:dyDescent="0.25">
      <c r="A790" s="294" t="s">
        <v>41</v>
      </c>
      <c r="B790" s="348" t="s">
        <v>779</v>
      </c>
      <c r="C790" s="297">
        <v>800</v>
      </c>
      <c r="D790" s="22">
        <f t="shared" si="196"/>
        <v>447.6</v>
      </c>
      <c r="E790" s="22">
        <f t="shared" si="196"/>
        <v>0</v>
      </c>
      <c r="F790" s="22">
        <f t="shared" si="196"/>
        <v>0</v>
      </c>
      <c r="G790" s="65"/>
    </row>
    <row r="791" spans="1:30" x14ac:dyDescent="0.25">
      <c r="A791" s="294" t="s">
        <v>780</v>
      </c>
      <c r="B791" s="348" t="s">
        <v>779</v>
      </c>
      <c r="C791" s="297">
        <v>830</v>
      </c>
      <c r="D791" s="22">
        <f>'Функц. 2025-2027'!F220</f>
        <v>447.6</v>
      </c>
      <c r="E791" s="22">
        <f>'Функц. 2025-2027'!H220</f>
        <v>0</v>
      </c>
      <c r="F791" s="22">
        <f>'Функц. 2025-2027'!J220</f>
        <v>0</v>
      </c>
      <c r="G791" s="65"/>
    </row>
    <row r="792" spans="1:30" x14ac:dyDescent="0.25">
      <c r="A792" s="184" t="s">
        <v>602</v>
      </c>
      <c r="B792" s="116" t="s">
        <v>601</v>
      </c>
      <c r="C792" s="399"/>
      <c r="D792" s="22">
        <f t="shared" ref="D792:F793" si="197">D793</f>
        <v>359</v>
      </c>
      <c r="E792" s="22">
        <f t="shared" si="197"/>
        <v>0</v>
      </c>
      <c r="F792" s="22">
        <f t="shared" si="197"/>
        <v>0</v>
      </c>
      <c r="G792" s="65"/>
    </row>
    <row r="793" spans="1:30" x14ac:dyDescent="0.25">
      <c r="A793" s="198" t="s">
        <v>95</v>
      </c>
      <c r="B793" s="116" t="s">
        <v>601</v>
      </c>
      <c r="C793" s="284">
        <v>300</v>
      </c>
      <c r="D793" s="118">
        <f t="shared" si="197"/>
        <v>359</v>
      </c>
      <c r="E793" s="118">
        <f t="shared" si="197"/>
        <v>0</v>
      </c>
      <c r="F793" s="118">
        <f t="shared" si="197"/>
        <v>0</v>
      </c>
      <c r="G793" s="65"/>
    </row>
    <row r="794" spans="1:30" x14ac:dyDescent="0.25">
      <c r="A794" s="252" t="s">
        <v>129</v>
      </c>
      <c r="B794" s="116" t="s">
        <v>601</v>
      </c>
      <c r="C794" s="284">
        <v>310</v>
      </c>
      <c r="D794" s="22">
        <f>'Функц. 2025-2027'!F915</f>
        <v>359</v>
      </c>
      <c r="E794" s="22">
        <f>'Функц. 2025-2027'!H915</f>
        <v>0</v>
      </c>
      <c r="F794" s="22">
        <f>'Функц. 2025-2027'!J915</f>
        <v>0</v>
      </c>
      <c r="G794" s="65"/>
    </row>
    <row r="795" spans="1:30" x14ac:dyDescent="0.25">
      <c r="A795" s="255" t="s">
        <v>422</v>
      </c>
      <c r="B795" s="204" t="s">
        <v>423</v>
      </c>
      <c r="C795" s="404"/>
      <c r="D795" s="22">
        <f>D802+D796+D799</f>
        <v>15173.400000000001</v>
      </c>
      <c r="E795" s="22">
        <f>E802+E796+E799</f>
        <v>1505.8999999999996</v>
      </c>
      <c r="F795" s="22">
        <f>F802+F796+F799</f>
        <v>2562.7000000000003</v>
      </c>
      <c r="G795" s="65"/>
    </row>
    <row r="796" spans="1:30" x14ac:dyDescent="0.25">
      <c r="A796" s="294" t="s">
        <v>781</v>
      </c>
      <c r="B796" s="484" t="s">
        <v>782</v>
      </c>
      <c r="C796" s="485"/>
      <c r="D796" s="22">
        <f t="shared" ref="D796:F797" si="198">D797</f>
        <v>150</v>
      </c>
      <c r="E796" s="22">
        <f t="shared" si="198"/>
        <v>0</v>
      </c>
      <c r="F796" s="22">
        <f t="shared" si="198"/>
        <v>0</v>
      </c>
      <c r="G796" s="65"/>
    </row>
    <row r="797" spans="1:30" x14ac:dyDescent="0.25">
      <c r="A797" s="294" t="s">
        <v>41</v>
      </c>
      <c r="B797" s="484" t="s">
        <v>782</v>
      </c>
      <c r="C797" s="485">
        <v>800</v>
      </c>
      <c r="D797" s="22">
        <f t="shared" si="198"/>
        <v>150</v>
      </c>
      <c r="E797" s="22">
        <f t="shared" si="198"/>
        <v>0</v>
      </c>
      <c r="F797" s="22">
        <f t="shared" si="198"/>
        <v>0</v>
      </c>
      <c r="G797" s="22">
        <f t="shared" ref="G797:AD797" si="199">G798</f>
        <v>0</v>
      </c>
      <c r="H797" s="22">
        <f t="shared" si="199"/>
        <v>0</v>
      </c>
      <c r="I797" s="22">
        <f t="shared" si="199"/>
        <v>0</v>
      </c>
      <c r="J797" s="22">
        <f t="shared" si="199"/>
        <v>0</v>
      </c>
      <c r="K797" s="22">
        <f t="shared" si="199"/>
        <v>0</v>
      </c>
      <c r="L797" s="22">
        <f t="shared" si="199"/>
        <v>0</v>
      </c>
      <c r="M797" s="22">
        <f t="shared" si="199"/>
        <v>0</v>
      </c>
      <c r="N797" s="22">
        <f t="shared" si="199"/>
        <v>0</v>
      </c>
      <c r="O797" s="22">
        <f t="shared" si="199"/>
        <v>0</v>
      </c>
      <c r="P797" s="22">
        <f t="shared" si="199"/>
        <v>0</v>
      </c>
      <c r="Q797" s="22">
        <f t="shared" si="199"/>
        <v>0</v>
      </c>
      <c r="R797" s="22">
        <f t="shared" si="199"/>
        <v>0</v>
      </c>
      <c r="S797" s="22">
        <f t="shared" si="199"/>
        <v>0</v>
      </c>
      <c r="T797" s="22">
        <f t="shared" si="199"/>
        <v>0</v>
      </c>
      <c r="U797" s="22">
        <f t="shared" si="199"/>
        <v>0</v>
      </c>
      <c r="V797" s="22">
        <f t="shared" si="199"/>
        <v>0</v>
      </c>
      <c r="W797" s="22">
        <f t="shared" si="199"/>
        <v>0</v>
      </c>
      <c r="X797" s="22">
        <f t="shared" si="199"/>
        <v>0</v>
      </c>
      <c r="Y797" s="22">
        <f t="shared" si="199"/>
        <v>0</v>
      </c>
      <c r="Z797" s="22">
        <f t="shared" si="199"/>
        <v>0</v>
      </c>
      <c r="AA797" s="22">
        <f t="shared" si="199"/>
        <v>0</v>
      </c>
      <c r="AB797" s="22">
        <f t="shared" si="199"/>
        <v>0</v>
      </c>
      <c r="AC797" s="22">
        <f t="shared" si="199"/>
        <v>0</v>
      </c>
      <c r="AD797" s="22">
        <f t="shared" si="199"/>
        <v>0</v>
      </c>
    </row>
    <row r="798" spans="1:30" x14ac:dyDescent="0.25">
      <c r="A798" s="294" t="s">
        <v>56</v>
      </c>
      <c r="B798" s="484" t="s">
        <v>782</v>
      </c>
      <c r="C798" s="485">
        <v>850</v>
      </c>
      <c r="D798" s="22">
        <f>'Функц. 2025-2027'!F224</f>
        <v>150</v>
      </c>
      <c r="E798" s="22">
        <f>'Функц. 2025-2027'!H224</f>
        <v>0</v>
      </c>
      <c r="F798" s="22">
        <f>'Функц. 2025-2027'!J224</f>
        <v>0</v>
      </c>
      <c r="G798" s="65"/>
    </row>
    <row r="799" spans="1:30" x14ac:dyDescent="0.25">
      <c r="A799" s="294" t="s">
        <v>895</v>
      </c>
      <c r="B799" s="484" t="s">
        <v>801</v>
      </c>
      <c r="C799" s="297"/>
      <c r="D799" s="22">
        <f t="shared" ref="D799:F800" si="200">D800</f>
        <v>1150</v>
      </c>
      <c r="E799" s="22">
        <f t="shared" si="200"/>
        <v>0</v>
      </c>
      <c r="F799" s="22">
        <f t="shared" si="200"/>
        <v>0</v>
      </c>
      <c r="G799" s="65"/>
    </row>
    <row r="800" spans="1:30" x14ac:dyDescent="0.25">
      <c r="A800" s="294" t="s">
        <v>95</v>
      </c>
      <c r="B800" s="484" t="s">
        <v>801</v>
      </c>
      <c r="C800" s="297">
        <v>300</v>
      </c>
      <c r="D800" s="22">
        <f t="shared" si="200"/>
        <v>1150</v>
      </c>
      <c r="E800" s="22">
        <f t="shared" si="200"/>
        <v>0</v>
      </c>
      <c r="F800" s="22">
        <f t="shared" si="200"/>
        <v>0</v>
      </c>
      <c r="G800" s="65"/>
    </row>
    <row r="801" spans="1:30" x14ac:dyDescent="0.25">
      <c r="A801" s="294" t="s">
        <v>39</v>
      </c>
      <c r="B801" s="484" t="s">
        <v>801</v>
      </c>
      <c r="C801" s="297">
        <v>320</v>
      </c>
      <c r="D801" s="22">
        <f>'Функц. 2025-2027'!F308</f>
        <v>1150</v>
      </c>
      <c r="E801" s="22">
        <f>'Функц. 2025-2027'!H308</f>
        <v>0</v>
      </c>
      <c r="F801" s="22">
        <f>'Функц. 2025-2027'!J308</f>
        <v>0</v>
      </c>
      <c r="G801" s="65"/>
    </row>
    <row r="802" spans="1:30" s="138" customFormat="1" ht="31.5" x14ac:dyDescent="0.25">
      <c r="A802" s="255" t="s">
        <v>425</v>
      </c>
      <c r="B802" s="204" t="s">
        <v>426</v>
      </c>
      <c r="C802" s="404"/>
      <c r="D802" s="22">
        <f t="shared" ref="D802:F803" si="201">D803</f>
        <v>13873.400000000001</v>
      </c>
      <c r="E802" s="22">
        <f t="shared" si="201"/>
        <v>1505.8999999999996</v>
      </c>
      <c r="F802" s="22">
        <f t="shared" si="201"/>
        <v>2562.7000000000003</v>
      </c>
      <c r="G802" s="65"/>
      <c r="H802" s="103"/>
      <c r="I802" s="103"/>
      <c r="J802" s="103"/>
      <c r="K802" s="103"/>
      <c r="L802" s="103"/>
      <c r="M802" s="103"/>
      <c r="N802" s="103"/>
      <c r="O802" s="103"/>
      <c r="P802" s="103"/>
      <c r="Q802" s="103"/>
      <c r="R802" s="103"/>
      <c r="S802" s="103"/>
      <c r="T802" s="103"/>
      <c r="U802" s="103"/>
      <c r="V802" s="103"/>
      <c r="W802" s="103"/>
      <c r="X802" s="103"/>
      <c r="Y802" s="103"/>
      <c r="Z802" s="103"/>
      <c r="AA802" s="103"/>
      <c r="AB802" s="103"/>
      <c r="AC802" s="103"/>
      <c r="AD802" s="103"/>
    </row>
    <row r="803" spans="1:30" s="138" customFormat="1" x14ac:dyDescent="0.25">
      <c r="A803" s="255" t="s">
        <v>41</v>
      </c>
      <c r="B803" s="204" t="s">
        <v>426</v>
      </c>
      <c r="C803" s="404">
        <v>800</v>
      </c>
      <c r="D803" s="281">
        <f t="shared" si="201"/>
        <v>13873.400000000001</v>
      </c>
      <c r="E803" s="282">
        <f t="shared" si="201"/>
        <v>1505.8999999999996</v>
      </c>
      <c r="F803" s="282">
        <f t="shared" si="201"/>
        <v>2562.7000000000003</v>
      </c>
      <c r="G803" s="65"/>
      <c r="H803" s="103"/>
      <c r="I803" s="103"/>
      <c r="J803" s="103"/>
      <c r="K803" s="103"/>
      <c r="L803" s="103"/>
      <c r="M803" s="103"/>
      <c r="N803" s="103"/>
      <c r="O803" s="103"/>
      <c r="P803" s="103"/>
      <c r="Q803" s="103"/>
      <c r="R803" s="103"/>
      <c r="S803" s="103"/>
      <c r="T803" s="103"/>
      <c r="U803" s="103"/>
      <c r="V803" s="103"/>
      <c r="W803" s="103"/>
      <c r="X803" s="103"/>
      <c r="Y803" s="103"/>
      <c r="Z803" s="103"/>
      <c r="AA803" s="103"/>
      <c r="AB803" s="103"/>
      <c r="AC803" s="103"/>
      <c r="AD803" s="103"/>
    </row>
    <row r="804" spans="1:30" s="138" customFormat="1" x14ac:dyDescent="0.25">
      <c r="A804" s="255" t="s">
        <v>134</v>
      </c>
      <c r="B804" s="204" t="s">
        <v>426</v>
      </c>
      <c r="C804" s="404">
        <v>870</v>
      </c>
      <c r="D804" s="195">
        <f>'Функц. 2025-2027'!F227</f>
        <v>13873.400000000001</v>
      </c>
      <c r="E804" s="195">
        <f>'Функц. 2025-2027'!H227</f>
        <v>1505.8999999999996</v>
      </c>
      <c r="F804" s="195">
        <f>'Функц. 2025-2027'!J227</f>
        <v>2562.7000000000003</v>
      </c>
      <c r="G804" s="65"/>
      <c r="H804" s="103"/>
      <c r="I804" s="103"/>
      <c r="J804" s="103"/>
      <c r="K804" s="103"/>
      <c r="L804" s="103"/>
      <c r="M804" s="103"/>
      <c r="N804" s="103"/>
      <c r="O804" s="103"/>
      <c r="P804" s="103"/>
      <c r="Q804" s="103"/>
      <c r="R804" s="103"/>
      <c r="S804" s="103"/>
      <c r="T804" s="103"/>
      <c r="U804" s="103"/>
      <c r="V804" s="103"/>
      <c r="W804" s="103"/>
      <c r="X804" s="103"/>
      <c r="Y804" s="103"/>
      <c r="Z804" s="103"/>
      <c r="AA804" s="103"/>
      <c r="AB804" s="103"/>
      <c r="AC804" s="103"/>
      <c r="AD804" s="103"/>
    </row>
    <row r="805" spans="1:30" s="138" customFormat="1" ht="47.25" x14ac:dyDescent="0.25">
      <c r="A805" s="294" t="s">
        <v>40</v>
      </c>
      <c r="B805" s="503" t="s">
        <v>890</v>
      </c>
      <c r="C805" s="302"/>
      <c r="D805" s="332">
        <f>D806</f>
        <v>5220.5</v>
      </c>
      <c r="E805" s="332">
        <f>E806</f>
        <v>0</v>
      </c>
      <c r="F805" s="332">
        <f t="shared" ref="F805:F806" si="202">F806</f>
        <v>0</v>
      </c>
      <c r="G805" s="65"/>
      <c r="H805" s="103"/>
      <c r="I805" s="103"/>
      <c r="J805" s="103"/>
      <c r="K805" s="103"/>
      <c r="L805" s="103"/>
      <c r="M805" s="103"/>
      <c r="N805" s="103"/>
      <c r="O805" s="103"/>
      <c r="P805" s="103"/>
      <c r="Q805" s="103"/>
      <c r="R805" s="103"/>
      <c r="S805" s="103"/>
      <c r="T805" s="103"/>
      <c r="U805" s="103"/>
      <c r="V805" s="103"/>
      <c r="W805" s="103"/>
      <c r="X805" s="103"/>
      <c r="Y805" s="103"/>
      <c r="Z805" s="103"/>
      <c r="AA805" s="103"/>
      <c r="AB805" s="103"/>
      <c r="AC805" s="103"/>
      <c r="AD805" s="103"/>
    </row>
    <row r="806" spans="1:30" s="138" customFormat="1" ht="16.5" x14ac:dyDescent="0.25">
      <c r="A806" s="446" t="s">
        <v>94</v>
      </c>
      <c r="B806" s="503" t="s">
        <v>890</v>
      </c>
      <c r="C806" s="302">
        <v>100</v>
      </c>
      <c r="D806" s="332">
        <f>D807</f>
        <v>5220.5</v>
      </c>
      <c r="E806" s="332">
        <f>E807</f>
        <v>0</v>
      </c>
      <c r="F806" s="332">
        <f t="shared" si="202"/>
        <v>0</v>
      </c>
      <c r="G806" s="65"/>
      <c r="H806" s="103"/>
      <c r="I806" s="103"/>
      <c r="J806" s="103"/>
      <c r="K806" s="103"/>
      <c r="L806" s="103"/>
      <c r="M806" s="103"/>
      <c r="N806" s="103"/>
      <c r="O806" s="103"/>
      <c r="P806" s="103"/>
      <c r="Q806" s="103"/>
      <c r="R806" s="103"/>
      <c r="S806" s="103"/>
      <c r="T806" s="103"/>
      <c r="U806" s="103"/>
      <c r="V806" s="103"/>
      <c r="W806" s="103"/>
      <c r="X806" s="103"/>
      <c r="Y806" s="103"/>
      <c r="Z806" s="103"/>
      <c r="AA806" s="103"/>
      <c r="AB806" s="103"/>
      <c r="AC806" s="103"/>
      <c r="AD806" s="103"/>
    </row>
    <row r="807" spans="1:30" s="138" customFormat="1" ht="47.25" x14ac:dyDescent="0.25">
      <c r="A807" s="446" t="s">
        <v>891</v>
      </c>
      <c r="B807" s="503" t="s">
        <v>890</v>
      </c>
      <c r="C807" s="302">
        <v>120</v>
      </c>
      <c r="D807" s="332">
        <f>'Функц. 2025-2027'!F86</f>
        <v>5220.5</v>
      </c>
      <c r="E807" s="333">
        <f>'Функц. 2025-2027'!H86</f>
        <v>0</v>
      </c>
      <c r="F807" s="332">
        <f>'Функц. 2025-2027'!J86</f>
        <v>0</v>
      </c>
      <c r="G807" s="65"/>
      <c r="H807" s="103"/>
      <c r="I807" s="103"/>
      <c r="J807" s="103"/>
      <c r="K807" s="103"/>
      <c r="L807" s="103"/>
      <c r="M807" s="103"/>
      <c r="N807" s="103"/>
      <c r="O807" s="103"/>
      <c r="P807" s="103"/>
      <c r="Q807" s="103"/>
      <c r="R807" s="103"/>
      <c r="S807" s="103"/>
      <c r="T807" s="103"/>
      <c r="U807" s="103"/>
      <c r="V807" s="103"/>
      <c r="W807" s="103"/>
      <c r="X807" s="103"/>
      <c r="Y807" s="103"/>
      <c r="Z807" s="103"/>
      <c r="AA807" s="103"/>
      <c r="AB807" s="103"/>
      <c r="AC807" s="103"/>
      <c r="AD807" s="103"/>
    </row>
    <row r="808" spans="1:30" s="138" customFormat="1" ht="47.25" x14ac:dyDescent="0.25">
      <c r="A808" s="446" t="s">
        <v>891</v>
      </c>
      <c r="B808" s="503" t="s">
        <v>892</v>
      </c>
      <c r="C808" s="302"/>
      <c r="D808" s="332">
        <f>D809</f>
        <v>1500</v>
      </c>
      <c r="E808" s="332">
        <f>E809</f>
        <v>0</v>
      </c>
      <c r="F808" s="332">
        <f t="shared" ref="F808" si="203">F809</f>
        <v>0</v>
      </c>
      <c r="G808" s="65"/>
      <c r="H808" s="103"/>
      <c r="I808" s="103"/>
      <c r="J808" s="103"/>
      <c r="K808" s="103"/>
      <c r="L808" s="103"/>
      <c r="M808" s="103"/>
      <c r="N808" s="103"/>
      <c r="O808" s="103"/>
      <c r="P808" s="103"/>
      <c r="Q808" s="103"/>
      <c r="R808" s="103"/>
      <c r="S808" s="103"/>
      <c r="T808" s="103"/>
      <c r="U808" s="103"/>
      <c r="V808" s="103"/>
      <c r="W808" s="103"/>
      <c r="X808" s="103"/>
      <c r="Y808" s="103"/>
      <c r="Z808" s="103"/>
      <c r="AA808" s="103"/>
      <c r="AB808" s="103"/>
      <c r="AC808" s="103"/>
      <c r="AD808" s="103"/>
    </row>
    <row r="809" spans="1:30" s="138" customFormat="1" ht="47.25" x14ac:dyDescent="0.25">
      <c r="A809" s="294" t="s">
        <v>40</v>
      </c>
      <c r="B809" s="503" t="s">
        <v>892</v>
      </c>
      <c r="C809" s="302">
        <v>100</v>
      </c>
      <c r="D809" s="332">
        <f>D810</f>
        <v>1500</v>
      </c>
      <c r="E809" s="332">
        <f>E810</f>
        <v>0</v>
      </c>
      <c r="F809" s="332">
        <f>F810</f>
        <v>0</v>
      </c>
      <c r="G809" s="65"/>
      <c r="H809" s="103"/>
      <c r="I809" s="103"/>
      <c r="J809" s="103"/>
      <c r="K809" s="103"/>
      <c r="L809" s="103"/>
      <c r="M809" s="103"/>
      <c r="N809" s="103"/>
      <c r="O809" s="103"/>
      <c r="P809" s="103"/>
      <c r="Q809" s="103"/>
      <c r="R809" s="103"/>
      <c r="S809" s="103"/>
      <c r="T809" s="103"/>
      <c r="U809" s="103"/>
      <c r="V809" s="103"/>
      <c r="W809" s="103"/>
      <c r="X809" s="103"/>
      <c r="Y809" s="103"/>
      <c r="Z809" s="103"/>
      <c r="AA809" s="103"/>
      <c r="AB809" s="103"/>
      <c r="AC809" s="103"/>
      <c r="AD809" s="103"/>
    </row>
    <row r="810" spans="1:30" s="138" customFormat="1" ht="17.25" thickBot="1" x14ac:dyDescent="0.3">
      <c r="A810" s="446" t="s">
        <v>94</v>
      </c>
      <c r="B810" s="504" t="s">
        <v>892</v>
      </c>
      <c r="C810" s="302">
        <v>120</v>
      </c>
      <c r="D810" s="332">
        <f>'Функц. 2025-2027'!F89</f>
        <v>1500</v>
      </c>
      <c r="E810" s="333">
        <f>'Функц. 2025-2027'!H89</f>
        <v>0</v>
      </c>
      <c r="F810" s="332">
        <f>'Функц. 2025-2027'!J89</f>
        <v>0</v>
      </c>
      <c r="G810" s="65"/>
      <c r="H810" s="103"/>
      <c r="I810" s="103"/>
      <c r="J810" s="103"/>
      <c r="K810" s="103"/>
      <c r="L810" s="103"/>
      <c r="M810" s="103"/>
      <c r="N810" s="103"/>
      <c r="O810" s="103"/>
      <c r="P810" s="103"/>
      <c r="Q810" s="103"/>
      <c r="R810" s="103"/>
      <c r="S810" s="103"/>
      <c r="T810" s="103"/>
      <c r="U810" s="103"/>
      <c r="V810" s="103"/>
      <c r="W810" s="103"/>
      <c r="X810" s="103"/>
      <c r="Y810" s="103"/>
      <c r="Z810" s="103"/>
      <c r="AA810" s="103"/>
      <c r="AB810" s="103"/>
      <c r="AC810" s="103"/>
      <c r="AD810" s="103"/>
    </row>
    <row r="811" spans="1:30" ht="16.5" thickBot="1" x14ac:dyDescent="0.3">
      <c r="A811" s="269" t="s">
        <v>49</v>
      </c>
      <c r="B811" s="418"/>
      <c r="C811" s="407"/>
      <c r="D811" s="328">
        <f>D751+D752+D782</f>
        <v>5400574.2000000002</v>
      </c>
      <c r="E811" s="335">
        <f>E751+E752+E782</f>
        <v>3355666.2999999993</v>
      </c>
      <c r="F811" s="336">
        <f>F751+F752+F782</f>
        <v>3189048.1999999997</v>
      </c>
      <c r="G811" s="65"/>
    </row>
    <row r="812" spans="1:30" x14ac:dyDescent="0.25">
      <c r="B812" s="119"/>
      <c r="C812" s="8"/>
      <c r="D812" s="23"/>
      <c r="E812" s="23"/>
    </row>
    <row r="813" spans="1:30" x14ac:dyDescent="0.25">
      <c r="B813" s="119"/>
      <c r="C813" s="8"/>
      <c r="D813" s="23"/>
      <c r="E813" s="23"/>
    </row>
    <row r="814" spans="1:30" x14ac:dyDescent="0.25">
      <c r="B814" s="119"/>
      <c r="C814" s="8"/>
      <c r="D814" s="23"/>
      <c r="E814" s="23"/>
    </row>
    <row r="815" spans="1:30" x14ac:dyDescent="0.25">
      <c r="B815" s="119"/>
      <c r="C815" s="8"/>
      <c r="D815" s="23"/>
      <c r="E815" s="23"/>
    </row>
    <row r="816" spans="1:30" x14ac:dyDescent="0.25">
      <c r="B816" s="119"/>
      <c r="C816" s="8"/>
      <c r="D816" s="23"/>
      <c r="E816" s="23"/>
    </row>
    <row r="817" spans="2:5" x14ac:dyDescent="0.25">
      <c r="B817" s="119"/>
      <c r="C817" s="8"/>
      <c r="D817" s="23"/>
      <c r="E817" s="23"/>
    </row>
    <row r="818" spans="2:5" x14ac:dyDescent="0.25">
      <c r="B818" s="119"/>
      <c r="C818" s="8"/>
      <c r="D818" s="23"/>
      <c r="E818" s="23"/>
    </row>
    <row r="819" spans="2:5" x14ac:dyDescent="0.25">
      <c r="B819" s="119"/>
      <c r="C819" s="8"/>
      <c r="D819" s="23"/>
      <c r="E819" s="23"/>
    </row>
    <row r="820" spans="2:5" x14ac:dyDescent="0.25">
      <c r="B820" s="119"/>
      <c r="C820" s="8"/>
      <c r="D820" s="23"/>
      <c r="E820" s="23"/>
    </row>
    <row r="821" spans="2:5" x14ac:dyDescent="0.25">
      <c r="B821" s="119"/>
      <c r="C821" s="8"/>
      <c r="D821" s="23"/>
      <c r="E821" s="23"/>
    </row>
    <row r="822" spans="2:5" x14ac:dyDescent="0.25">
      <c r="B822" s="119"/>
      <c r="C822" s="8"/>
      <c r="D822" s="23"/>
      <c r="E822" s="23"/>
    </row>
    <row r="823" spans="2:5" x14ac:dyDescent="0.25">
      <c r="B823" s="119"/>
      <c r="C823" s="8"/>
      <c r="D823" s="23"/>
      <c r="E823" s="23"/>
    </row>
    <row r="824" spans="2:5" x14ac:dyDescent="0.25">
      <c r="B824" s="119"/>
      <c r="C824" s="8"/>
      <c r="D824" s="23"/>
      <c r="E824" s="23"/>
    </row>
    <row r="825" spans="2:5" x14ac:dyDescent="0.25">
      <c r="B825" s="119"/>
      <c r="C825" s="8"/>
      <c r="D825" s="23"/>
      <c r="E825" s="23"/>
    </row>
    <row r="826" spans="2:5" x14ac:dyDescent="0.25">
      <c r="B826" s="119"/>
      <c r="C826" s="8"/>
      <c r="D826" s="23"/>
      <c r="E826" s="23"/>
    </row>
    <row r="827" spans="2:5" x14ac:dyDescent="0.25">
      <c r="B827" s="119"/>
      <c r="C827" s="8"/>
      <c r="D827" s="23"/>
      <c r="E827" s="23"/>
    </row>
    <row r="828" spans="2:5" x14ac:dyDescent="0.25">
      <c r="B828" s="119"/>
      <c r="C828" s="8"/>
      <c r="D828" s="23"/>
      <c r="E828" s="23"/>
    </row>
    <row r="829" spans="2:5" x14ac:dyDescent="0.25">
      <c r="B829" s="119"/>
      <c r="C829" s="8"/>
      <c r="D829" s="23"/>
      <c r="E829" s="23"/>
    </row>
    <row r="830" spans="2:5" x14ac:dyDescent="0.25">
      <c r="B830" s="119"/>
      <c r="C830" s="8"/>
      <c r="D830" s="23"/>
      <c r="E830" s="23"/>
    </row>
    <row r="831" spans="2:5" x14ac:dyDescent="0.25">
      <c r="B831" s="119"/>
      <c r="C831" s="8"/>
      <c r="D831" s="23"/>
      <c r="E831" s="23"/>
    </row>
    <row r="832" spans="2:5" x14ac:dyDescent="0.25">
      <c r="B832" s="119"/>
      <c r="C832" s="8"/>
      <c r="D832" s="23"/>
      <c r="E832" s="23"/>
    </row>
    <row r="833" spans="2:5" x14ac:dyDescent="0.25">
      <c r="B833" s="119"/>
      <c r="C833" s="8"/>
      <c r="D833" s="23"/>
      <c r="E833" s="23"/>
    </row>
    <row r="834" spans="2:5" x14ac:dyDescent="0.25">
      <c r="B834" s="119"/>
      <c r="C834" s="8"/>
      <c r="D834" s="23"/>
      <c r="E834" s="23"/>
    </row>
    <row r="835" spans="2:5" x14ac:dyDescent="0.25">
      <c r="B835" s="119"/>
      <c r="C835" s="8"/>
      <c r="D835" s="23"/>
      <c r="E835" s="23"/>
    </row>
    <row r="836" spans="2:5" x14ac:dyDescent="0.25">
      <c r="B836" s="119"/>
      <c r="C836" s="8"/>
      <c r="D836" s="23"/>
      <c r="E836" s="23"/>
    </row>
    <row r="837" spans="2:5" x14ac:dyDescent="0.25">
      <c r="B837" s="119"/>
      <c r="C837" s="8"/>
      <c r="D837" s="23"/>
      <c r="E837" s="23"/>
    </row>
    <row r="838" spans="2:5" x14ac:dyDescent="0.25">
      <c r="B838" s="119"/>
      <c r="C838" s="8"/>
      <c r="D838" s="23"/>
      <c r="E838" s="23"/>
    </row>
    <row r="839" spans="2:5" x14ac:dyDescent="0.25">
      <c r="B839" s="119"/>
      <c r="C839" s="8"/>
      <c r="D839" s="23"/>
      <c r="E839" s="23"/>
    </row>
    <row r="840" spans="2:5" x14ac:dyDescent="0.25">
      <c r="B840" s="119"/>
      <c r="C840" s="8"/>
      <c r="D840" s="23"/>
      <c r="E840" s="23"/>
    </row>
    <row r="841" spans="2:5" x14ac:dyDescent="0.25">
      <c r="B841" s="119"/>
      <c r="C841" s="8"/>
      <c r="D841" s="23"/>
      <c r="E841" s="23"/>
    </row>
    <row r="842" spans="2:5" x14ac:dyDescent="0.25">
      <c r="B842" s="119"/>
      <c r="C842" s="8"/>
      <c r="D842" s="23"/>
      <c r="E842" s="23"/>
    </row>
    <row r="843" spans="2:5" x14ac:dyDescent="0.25">
      <c r="B843" s="119"/>
      <c r="C843" s="8"/>
      <c r="D843" s="23"/>
      <c r="E843" s="23"/>
    </row>
    <row r="844" spans="2:5" x14ac:dyDescent="0.25">
      <c r="B844" s="119"/>
      <c r="C844" s="8"/>
      <c r="D844" s="23"/>
      <c r="E844" s="23"/>
    </row>
    <row r="845" spans="2:5" x14ac:dyDescent="0.25">
      <c r="B845" s="119"/>
      <c r="C845" s="8"/>
      <c r="D845" s="23"/>
      <c r="E845" s="23"/>
    </row>
    <row r="846" spans="2:5" x14ac:dyDescent="0.25">
      <c r="B846" s="119"/>
      <c r="C846" s="8"/>
      <c r="D846" s="23"/>
      <c r="E846" s="23"/>
    </row>
    <row r="847" spans="2:5" x14ac:dyDescent="0.25">
      <c r="B847" s="119"/>
      <c r="C847" s="8"/>
      <c r="D847" s="23"/>
      <c r="E847" s="23"/>
    </row>
    <row r="848" spans="2:5" x14ac:dyDescent="0.25">
      <c r="B848" s="119"/>
      <c r="C848" s="8"/>
      <c r="D848" s="23"/>
      <c r="E848" s="23"/>
    </row>
    <row r="849" spans="2:5" x14ac:dyDescent="0.25">
      <c r="B849" s="119"/>
      <c r="C849" s="8"/>
      <c r="D849" s="23"/>
      <c r="E849" s="23"/>
    </row>
    <row r="850" spans="2:5" x14ac:dyDescent="0.25">
      <c r="B850" s="119"/>
      <c r="C850" s="8"/>
      <c r="D850" s="23"/>
      <c r="E850" s="23"/>
    </row>
    <row r="851" spans="2:5" x14ac:dyDescent="0.25">
      <c r="B851" s="119"/>
      <c r="C851" s="8"/>
      <c r="D851" s="23"/>
      <c r="E851" s="23"/>
    </row>
    <row r="852" spans="2:5" x14ac:dyDescent="0.25">
      <c r="B852" s="119"/>
      <c r="C852" s="8"/>
      <c r="D852" s="23"/>
      <c r="E852" s="23"/>
    </row>
    <row r="853" spans="2:5" x14ac:dyDescent="0.25">
      <c r="B853" s="119"/>
      <c r="C853" s="8"/>
      <c r="D853" s="23"/>
      <c r="E853" s="23"/>
    </row>
    <row r="854" spans="2:5" x14ac:dyDescent="0.25">
      <c r="B854" s="119"/>
      <c r="C854" s="8"/>
      <c r="D854" s="23"/>
      <c r="E854" s="23"/>
    </row>
    <row r="855" spans="2:5" x14ac:dyDescent="0.25">
      <c r="B855" s="119"/>
      <c r="C855" s="8"/>
      <c r="D855" s="23"/>
      <c r="E855" s="23"/>
    </row>
    <row r="856" spans="2:5" x14ac:dyDescent="0.25">
      <c r="B856" s="119"/>
      <c r="C856" s="8"/>
      <c r="D856" s="23"/>
      <c r="E856" s="23"/>
    </row>
    <row r="857" spans="2:5" x14ac:dyDescent="0.25">
      <c r="B857" s="119"/>
      <c r="C857" s="8"/>
      <c r="D857" s="23"/>
      <c r="E857" s="23"/>
    </row>
    <row r="858" spans="2:5" x14ac:dyDescent="0.25">
      <c r="B858" s="119"/>
      <c r="C858" s="8"/>
      <c r="D858" s="23"/>
      <c r="E858" s="23"/>
    </row>
    <row r="859" spans="2:5" x14ac:dyDescent="0.25">
      <c r="B859" s="119"/>
      <c r="C859" s="8"/>
      <c r="D859" s="23"/>
      <c r="E859" s="23"/>
    </row>
    <row r="860" spans="2:5" x14ac:dyDescent="0.25">
      <c r="B860" s="119"/>
      <c r="C860" s="8"/>
      <c r="D860" s="23"/>
      <c r="E860" s="23"/>
    </row>
    <row r="861" spans="2:5" x14ac:dyDescent="0.25">
      <c r="B861" s="119"/>
      <c r="C861" s="8"/>
      <c r="D861" s="23"/>
      <c r="E861" s="23"/>
    </row>
    <row r="862" spans="2:5" x14ac:dyDescent="0.25">
      <c r="B862" s="119"/>
      <c r="C862" s="8"/>
      <c r="D862" s="23"/>
      <c r="E862" s="23"/>
    </row>
    <row r="863" spans="2:5" x14ac:dyDescent="0.25">
      <c r="B863" s="119"/>
      <c r="C863" s="8"/>
      <c r="D863" s="23"/>
      <c r="E863" s="23"/>
    </row>
    <row r="864" spans="2:5" x14ac:dyDescent="0.25">
      <c r="B864" s="119"/>
      <c r="C864" s="8"/>
      <c r="D864" s="23"/>
      <c r="E864" s="23"/>
    </row>
    <row r="865" spans="2:5" x14ac:dyDescent="0.25">
      <c r="B865" s="119"/>
      <c r="C865" s="8"/>
      <c r="D865" s="23"/>
      <c r="E865" s="23"/>
    </row>
    <row r="866" spans="2:5" x14ac:dyDescent="0.25">
      <c r="B866" s="119"/>
      <c r="C866" s="8"/>
      <c r="D866" s="23"/>
      <c r="E866" s="23"/>
    </row>
    <row r="867" spans="2:5" x14ac:dyDescent="0.25">
      <c r="B867" s="119"/>
      <c r="C867" s="8"/>
      <c r="D867" s="23"/>
      <c r="E867" s="23"/>
    </row>
    <row r="868" spans="2:5" x14ac:dyDescent="0.25">
      <c r="B868" s="119"/>
      <c r="C868" s="8"/>
      <c r="D868" s="23"/>
      <c r="E868" s="23"/>
    </row>
    <row r="869" spans="2:5" x14ac:dyDescent="0.25">
      <c r="B869" s="119"/>
      <c r="C869" s="8"/>
      <c r="D869" s="23"/>
      <c r="E869" s="23"/>
    </row>
    <row r="870" spans="2:5" x14ac:dyDescent="0.25">
      <c r="B870" s="119"/>
      <c r="C870" s="8"/>
      <c r="D870" s="23"/>
      <c r="E870" s="23"/>
    </row>
    <row r="871" spans="2:5" x14ac:dyDescent="0.25">
      <c r="B871" s="119"/>
      <c r="C871" s="8"/>
      <c r="D871" s="23"/>
      <c r="E871" s="23"/>
    </row>
    <row r="872" spans="2:5" x14ac:dyDescent="0.25">
      <c r="B872" s="119"/>
      <c r="C872" s="8"/>
      <c r="D872" s="23"/>
      <c r="E872" s="23"/>
    </row>
    <row r="873" spans="2:5" x14ac:dyDescent="0.25">
      <c r="B873" s="119"/>
      <c r="C873" s="8"/>
      <c r="D873" s="23"/>
      <c r="E873" s="23"/>
    </row>
    <row r="874" spans="2:5" x14ac:dyDescent="0.25">
      <c r="B874" s="119"/>
      <c r="C874" s="8"/>
      <c r="D874" s="23"/>
      <c r="E874" s="23"/>
    </row>
    <row r="875" spans="2:5" x14ac:dyDescent="0.25">
      <c r="B875" s="119"/>
      <c r="C875" s="8"/>
      <c r="D875" s="23"/>
      <c r="E875" s="23"/>
    </row>
    <row r="876" spans="2:5" x14ac:dyDescent="0.25">
      <c r="B876" s="119"/>
      <c r="C876" s="8"/>
      <c r="D876" s="23"/>
      <c r="E876" s="23"/>
    </row>
    <row r="877" spans="2:5" x14ac:dyDescent="0.25">
      <c r="B877" s="119"/>
      <c r="C877" s="8"/>
      <c r="D877" s="23"/>
      <c r="E877" s="23"/>
    </row>
    <row r="878" spans="2:5" x14ac:dyDescent="0.25">
      <c r="B878" s="119"/>
      <c r="C878" s="8"/>
      <c r="D878" s="23"/>
      <c r="E878" s="23"/>
    </row>
    <row r="879" spans="2:5" x14ac:dyDescent="0.25">
      <c r="B879" s="119"/>
      <c r="C879" s="8"/>
      <c r="D879" s="23"/>
      <c r="E879" s="23"/>
    </row>
    <row r="880" spans="2:5" x14ac:dyDescent="0.25">
      <c r="B880" s="119"/>
      <c r="C880" s="8"/>
      <c r="D880" s="23"/>
      <c r="E880" s="23"/>
    </row>
    <row r="881" spans="2:5" x14ac:dyDescent="0.25">
      <c r="B881" s="119"/>
      <c r="C881" s="8"/>
      <c r="D881" s="23"/>
      <c r="E881" s="23"/>
    </row>
    <row r="882" spans="2:5" x14ac:dyDescent="0.25">
      <c r="B882" s="119"/>
      <c r="C882" s="8"/>
      <c r="D882" s="23"/>
      <c r="E882" s="23"/>
    </row>
    <row r="883" spans="2:5" x14ac:dyDescent="0.25">
      <c r="B883" s="119"/>
      <c r="C883" s="8"/>
      <c r="D883" s="23"/>
      <c r="E883" s="23"/>
    </row>
    <row r="884" spans="2:5" x14ac:dyDescent="0.25">
      <c r="B884" s="119"/>
      <c r="C884" s="8"/>
      <c r="D884" s="23"/>
      <c r="E884" s="23"/>
    </row>
    <row r="885" spans="2:5" x14ac:dyDescent="0.25">
      <c r="B885" s="119"/>
      <c r="C885" s="8"/>
      <c r="D885" s="23"/>
      <c r="E885" s="23"/>
    </row>
    <row r="886" spans="2:5" x14ac:dyDescent="0.25">
      <c r="B886" s="119"/>
      <c r="C886" s="8"/>
      <c r="D886" s="23"/>
      <c r="E886" s="23"/>
    </row>
    <row r="887" spans="2:5" x14ac:dyDescent="0.25">
      <c r="B887" s="119"/>
      <c r="C887" s="8"/>
      <c r="D887" s="23"/>
      <c r="E887" s="23"/>
    </row>
    <row r="888" spans="2:5" x14ac:dyDescent="0.25">
      <c r="B888" s="119"/>
      <c r="C888" s="8"/>
      <c r="D888" s="23"/>
      <c r="E888" s="23"/>
    </row>
    <row r="889" spans="2:5" x14ac:dyDescent="0.25">
      <c r="B889" s="119"/>
      <c r="C889" s="8"/>
      <c r="D889" s="23"/>
      <c r="E889" s="23"/>
    </row>
    <row r="890" spans="2:5" x14ac:dyDescent="0.25">
      <c r="B890" s="119"/>
      <c r="C890" s="8"/>
      <c r="D890" s="23"/>
      <c r="E890" s="23"/>
    </row>
    <row r="891" spans="2:5" x14ac:dyDescent="0.25">
      <c r="B891" s="119"/>
      <c r="C891" s="8"/>
      <c r="D891" s="23"/>
      <c r="E891" s="23"/>
    </row>
    <row r="892" spans="2:5" x14ac:dyDescent="0.25">
      <c r="B892" s="119"/>
      <c r="C892" s="8"/>
      <c r="D892" s="23"/>
      <c r="E892" s="23"/>
    </row>
    <row r="893" spans="2:5" x14ac:dyDescent="0.25">
      <c r="B893" s="119"/>
      <c r="C893" s="8"/>
      <c r="D893" s="23"/>
      <c r="E893" s="23"/>
    </row>
    <row r="894" spans="2:5" x14ac:dyDescent="0.25">
      <c r="B894" s="119"/>
      <c r="C894" s="8"/>
      <c r="D894" s="23"/>
      <c r="E894" s="23"/>
    </row>
    <row r="895" spans="2:5" x14ac:dyDescent="0.25">
      <c r="B895" s="119"/>
      <c r="C895" s="8"/>
      <c r="D895" s="23"/>
      <c r="E895" s="23"/>
    </row>
    <row r="896" spans="2:5" x14ac:dyDescent="0.25">
      <c r="B896" s="119"/>
      <c r="C896" s="8"/>
      <c r="D896" s="23"/>
      <c r="E896" s="23"/>
    </row>
    <row r="897" spans="2:5" x14ac:dyDescent="0.25">
      <c r="B897" s="119"/>
      <c r="C897" s="8"/>
      <c r="D897" s="23"/>
      <c r="E897" s="23"/>
    </row>
    <row r="898" spans="2:5" x14ac:dyDescent="0.25">
      <c r="B898" s="119"/>
      <c r="C898" s="8"/>
      <c r="D898" s="23"/>
      <c r="E898" s="23"/>
    </row>
    <row r="899" spans="2:5" x14ac:dyDescent="0.25">
      <c r="B899" s="119"/>
      <c r="C899" s="8"/>
      <c r="D899" s="23"/>
      <c r="E899" s="23"/>
    </row>
    <row r="900" spans="2:5" x14ac:dyDescent="0.25">
      <c r="B900" s="119"/>
      <c r="C900" s="8"/>
      <c r="D900" s="23"/>
      <c r="E900" s="23"/>
    </row>
    <row r="901" spans="2:5" x14ac:dyDescent="0.25">
      <c r="B901" s="119"/>
      <c r="C901" s="8"/>
      <c r="D901" s="23"/>
      <c r="E901" s="23"/>
    </row>
    <row r="902" spans="2:5" x14ac:dyDescent="0.25">
      <c r="B902" s="119"/>
      <c r="C902" s="8"/>
      <c r="D902" s="23"/>
      <c r="E902" s="23"/>
    </row>
    <row r="903" spans="2:5" x14ac:dyDescent="0.25">
      <c r="B903" s="119"/>
      <c r="C903" s="8"/>
      <c r="D903" s="23"/>
      <c r="E903" s="23"/>
    </row>
    <row r="904" spans="2:5" x14ac:dyDescent="0.25">
      <c r="B904" s="119"/>
      <c r="C904" s="8"/>
      <c r="D904" s="23"/>
      <c r="E904" s="23"/>
    </row>
    <row r="905" spans="2:5" x14ac:dyDescent="0.25">
      <c r="B905" s="119"/>
      <c r="C905" s="8"/>
      <c r="D905" s="23"/>
      <c r="E905" s="23"/>
    </row>
    <row r="906" spans="2:5" x14ac:dyDescent="0.25">
      <c r="B906" s="119"/>
      <c r="C906" s="8"/>
      <c r="D906" s="23"/>
      <c r="E906" s="23"/>
    </row>
    <row r="907" spans="2:5" x14ac:dyDescent="0.25">
      <c r="B907" s="119"/>
      <c r="C907" s="8"/>
      <c r="D907" s="23"/>
      <c r="E907" s="23"/>
    </row>
    <row r="908" spans="2:5" x14ac:dyDescent="0.25">
      <c r="B908" s="119"/>
      <c r="C908" s="8"/>
      <c r="D908" s="23"/>
      <c r="E908" s="23"/>
    </row>
    <row r="909" spans="2:5" x14ac:dyDescent="0.25">
      <c r="B909" s="119"/>
      <c r="C909" s="8"/>
      <c r="D909" s="23"/>
      <c r="E909" s="23"/>
    </row>
    <row r="910" spans="2:5" x14ac:dyDescent="0.25">
      <c r="B910" s="119"/>
      <c r="C910" s="8"/>
      <c r="D910" s="23"/>
      <c r="E910" s="23"/>
    </row>
    <row r="911" spans="2:5" x14ac:dyDescent="0.25">
      <c r="B911" s="119"/>
      <c r="C911" s="8"/>
      <c r="D911" s="23"/>
      <c r="E911" s="23"/>
    </row>
    <row r="912" spans="2:5" x14ac:dyDescent="0.25">
      <c r="B912" s="119"/>
      <c r="C912" s="8"/>
      <c r="D912" s="23"/>
      <c r="E912" s="23"/>
    </row>
    <row r="913" spans="2:5" x14ac:dyDescent="0.25">
      <c r="B913" s="119"/>
      <c r="C913" s="8"/>
      <c r="D913" s="23"/>
      <c r="E913" s="23"/>
    </row>
    <row r="914" spans="2:5" x14ac:dyDescent="0.25">
      <c r="B914" s="119"/>
      <c r="C914" s="8"/>
      <c r="D914" s="23"/>
      <c r="E914" s="23"/>
    </row>
    <row r="915" spans="2:5" x14ac:dyDescent="0.25">
      <c r="B915" s="119"/>
      <c r="C915" s="8"/>
      <c r="D915" s="23"/>
      <c r="E915" s="23"/>
    </row>
    <row r="916" spans="2:5" x14ac:dyDescent="0.25">
      <c r="B916" s="119"/>
      <c r="C916" s="8"/>
      <c r="D916" s="23"/>
      <c r="E916" s="23"/>
    </row>
    <row r="917" spans="2:5" x14ac:dyDescent="0.25">
      <c r="B917" s="119"/>
      <c r="C917" s="8"/>
      <c r="D917" s="23"/>
      <c r="E917" s="23"/>
    </row>
    <row r="918" spans="2:5" x14ac:dyDescent="0.25">
      <c r="B918" s="119"/>
      <c r="C918" s="8"/>
      <c r="D918" s="23"/>
      <c r="E918" s="23"/>
    </row>
    <row r="919" spans="2:5" x14ac:dyDescent="0.25">
      <c r="B919" s="119"/>
      <c r="C919" s="8"/>
      <c r="D919" s="23"/>
      <c r="E919" s="23"/>
    </row>
    <row r="920" spans="2:5" x14ac:dyDescent="0.25">
      <c r="B920" s="119"/>
      <c r="C920" s="8"/>
      <c r="D920" s="23"/>
      <c r="E920" s="23"/>
    </row>
    <row r="921" spans="2:5" x14ac:dyDescent="0.25">
      <c r="B921" s="119"/>
      <c r="C921" s="8"/>
      <c r="D921" s="23"/>
      <c r="E921" s="23"/>
    </row>
    <row r="922" spans="2:5" x14ac:dyDescent="0.25">
      <c r="B922" s="119"/>
      <c r="C922" s="8"/>
      <c r="D922" s="23"/>
      <c r="E922" s="23"/>
    </row>
    <row r="923" spans="2:5" x14ac:dyDescent="0.25">
      <c r="B923" s="119"/>
      <c r="C923" s="8"/>
      <c r="D923" s="23"/>
      <c r="E923" s="23"/>
    </row>
    <row r="924" spans="2:5" x14ac:dyDescent="0.25">
      <c r="B924" s="119"/>
      <c r="C924" s="8"/>
      <c r="D924" s="23"/>
      <c r="E924" s="23"/>
    </row>
    <row r="925" spans="2:5" x14ac:dyDescent="0.25">
      <c r="B925" s="119"/>
      <c r="C925" s="8"/>
      <c r="D925" s="23"/>
      <c r="E925" s="23"/>
    </row>
    <row r="926" spans="2:5" x14ac:dyDescent="0.25">
      <c r="B926" s="119"/>
      <c r="C926" s="8"/>
      <c r="D926" s="23"/>
      <c r="E926" s="23"/>
    </row>
    <row r="927" spans="2:5" x14ac:dyDescent="0.25">
      <c r="B927" s="119"/>
      <c r="C927" s="8"/>
      <c r="D927" s="23"/>
      <c r="E927" s="23"/>
    </row>
    <row r="928" spans="2:5" x14ac:dyDescent="0.25">
      <c r="B928" s="119"/>
      <c r="C928" s="8"/>
      <c r="D928" s="23"/>
      <c r="E928" s="23"/>
    </row>
    <row r="929" spans="2:5" x14ac:dyDescent="0.25">
      <c r="B929" s="119"/>
      <c r="C929" s="8"/>
      <c r="D929" s="23"/>
      <c r="E929" s="23"/>
    </row>
    <row r="930" spans="2:5" x14ac:dyDescent="0.25">
      <c r="B930" s="119"/>
      <c r="C930" s="8"/>
      <c r="D930" s="23"/>
      <c r="E930" s="23"/>
    </row>
    <row r="931" spans="2:5" x14ac:dyDescent="0.25">
      <c r="B931" s="119"/>
      <c r="C931" s="8"/>
      <c r="D931" s="23"/>
      <c r="E931" s="23"/>
    </row>
    <row r="932" spans="2:5" x14ac:dyDescent="0.25">
      <c r="B932" s="119"/>
      <c r="C932" s="8"/>
      <c r="D932" s="23"/>
      <c r="E932" s="23"/>
    </row>
    <row r="933" spans="2:5" x14ac:dyDescent="0.25">
      <c r="B933" s="119"/>
      <c r="C933" s="8"/>
      <c r="D933" s="23"/>
      <c r="E933" s="23"/>
    </row>
    <row r="934" spans="2:5" x14ac:dyDescent="0.25">
      <c r="B934" s="119"/>
      <c r="C934" s="8"/>
      <c r="D934" s="23"/>
      <c r="E934" s="23"/>
    </row>
    <row r="935" spans="2:5" x14ac:dyDescent="0.25">
      <c r="B935" s="119"/>
      <c r="C935" s="8"/>
      <c r="D935" s="23"/>
      <c r="E935" s="23"/>
    </row>
    <row r="936" spans="2:5" x14ac:dyDescent="0.25">
      <c r="B936" s="119"/>
      <c r="C936" s="8"/>
      <c r="D936" s="23"/>
      <c r="E936" s="23"/>
    </row>
    <row r="937" spans="2:5" x14ac:dyDescent="0.25">
      <c r="B937" s="119"/>
      <c r="C937" s="8"/>
      <c r="D937" s="23"/>
      <c r="E937" s="23"/>
    </row>
    <row r="938" spans="2:5" x14ac:dyDescent="0.25">
      <c r="B938" s="119"/>
      <c r="C938" s="8"/>
      <c r="D938" s="23"/>
      <c r="E938" s="23"/>
    </row>
    <row r="939" spans="2:5" x14ac:dyDescent="0.25">
      <c r="B939" s="119"/>
      <c r="C939" s="8"/>
      <c r="D939" s="23"/>
      <c r="E939" s="23"/>
    </row>
    <row r="940" spans="2:5" x14ac:dyDescent="0.25">
      <c r="B940" s="119"/>
      <c r="C940" s="8"/>
      <c r="D940" s="23"/>
      <c r="E940" s="23"/>
    </row>
    <row r="941" spans="2:5" x14ac:dyDescent="0.25">
      <c r="B941" s="119"/>
      <c r="C941" s="8"/>
      <c r="D941" s="23"/>
      <c r="E941" s="23"/>
    </row>
    <row r="942" spans="2:5" x14ac:dyDescent="0.25">
      <c r="B942" s="119"/>
      <c r="C942" s="8"/>
      <c r="D942" s="23"/>
      <c r="E942" s="23"/>
    </row>
    <row r="943" spans="2:5" x14ac:dyDescent="0.25">
      <c r="B943" s="119"/>
      <c r="C943" s="8"/>
      <c r="D943" s="23"/>
      <c r="E943" s="23"/>
    </row>
    <row r="944" spans="2:5" x14ac:dyDescent="0.25">
      <c r="B944" s="119"/>
      <c r="C944" s="8"/>
      <c r="D944" s="23"/>
      <c r="E944" s="23"/>
    </row>
    <row r="945" spans="2:5" x14ac:dyDescent="0.25">
      <c r="B945" s="119"/>
      <c r="C945" s="8"/>
      <c r="D945" s="23"/>
      <c r="E945" s="23"/>
    </row>
    <row r="946" spans="2:5" x14ac:dyDescent="0.25">
      <c r="B946" s="119"/>
      <c r="C946" s="8"/>
      <c r="D946" s="23"/>
      <c r="E946" s="23"/>
    </row>
    <row r="947" spans="2:5" x14ac:dyDescent="0.25">
      <c r="B947" s="119"/>
      <c r="C947" s="8"/>
      <c r="D947" s="23"/>
      <c r="E947" s="23"/>
    </row>
    <row r="948" spans="2:5" x14ac:dyDescent="0.25">
      <c r="B948" s="119"/>
      <c r="C948" s="8"/>
      <c r="D948" s="23"/>
      <c r="E948" s="23"/>
    </row>
    <row r="949" spans="2:5" x14ac:dyDescent="0.25">
      <c r="B949" s="119"/>
      <c r="C949" s="8"/>
      <c r="D949" s="23"/>
      <c r="E949" s="23"/>
    </row>
    <row r="950" spans="2:5" x14ac:dyDescent="0.25">
      <c r="B950" s="119"/>
      <c r="C950" s="8"/>
      <c r="D950" s="23"/>
      <c r="E950" s="23"/>
    </row>
    <row r="951" spans="2:5" x14ac:dyDescent="0.25">
      <c r="B951" s="119"/>
      <c r="C951" s="8"/>
      <c r="D951" s="23"/>
      <c r="E951" s="23"/>
    </row>
    <row r="952" spans="2:5" x14ac:dyDescent="0.25">
      <c r="B952" s="119"/>
      <c r="C952" s="8"/>
      <c r="D952" s="23"/>
      <c r="E952" s="23"/>
    </row>
    <row r="953" spans="2:5" x14ac:dyDescent="0.25">
      <c r="B953" s="119"/>
      <c r="C953" s="8"/>
      <c r="D953" s="23"/>
      <c r="E953" s="23"/>
    </row>
    <row r="954" spans="2:5" x14ac:dyDescent="0.25">
      <c r="B954" s="119"/>
      <c r="C954" s="8"/>
      <c r="D954" s="23"/>
      <c r="E954" s="23"/>
    </row>
    <row r="955" spans="2:5" x14ac:dyDescent="0.25">
      <c r="B955" s="119"/>
      <c r="C955" s="8"/>
      <c r="D955" s="23"/>
      <c r="E955" s="23"/>
    </row>
    <row r="956" spans="2:5" x14ac:dyDescent="0.25">
      <c r="B956" s="119"/>
      <c r="C956" s="8"/>
      <c r="D956" s="23"/>
      <c r="E956" s="23"/>
    </row>
    <row r="957" spans="2:5" x14ac:dyDescent="0.25">
      <c r="B957" s="119"/>
      <c r="C957" s="8"/>
      <c r="D957" s="23"/>
      <c r="E957" s="23"/>
    </row>
    <row r="958" spans="2:5" x14ac:dyDescent="0.25">
      <c r="B958" s="119"/>
      <c r="C958" s="8"/>
      <c r="D958" s="23"/>
      <c r="E958" s="23"/>
    </row>
    <row r="959" spans="2:5" x14ac:dyDescent="0.25">
      <c r="B959" s="119"/>
      <c r="C959" s="8"/>
      <c r="D959" s="23"/>
      <c r="E959" s="23"/>
    </row>
    <row r="960" spans="2:5" x14ac:dyDescent="0.25">
      <c r="B960" s="119"/>
      <c r="C960" s="8"/>
      <c r="D960" s="23"/>
      <c r="E960" s="23"/>
    </row>
    <row r="961" spans="2:5" x14ac:dyDescent="0.25">
      <c r="B961" s="119"/>
      <c r="C961" s="8"/>
      <c r="D961" s="23"/>
      <c r="E961" s="23"/>
    </row>
    <row r="962" spans="2:5" x14ac:dyDescent="0.25">
      <c r="B962" s="119"/>
      <c r="C962" s="8"/>
      <c r="D962" s="23"/>
      <c r="E962" s="23"/>
    </row>
    <row r="963" spans="2:5" x14ac:dyDescent="0.25">
      <c r="B963" s="119"/>
      <c r="C963" s="8"/>
      <c r="D963" s="23"/>
      <c r="E963" s="23"/>
    </row>
    <row r="964" spans="2:5" x14ac:dyDescent="0.25">
      <c r="B964" s="119"/>
      <c r="C964" s="8"/>
      <c r="D964" s="23"/>
      <c r="E964" s="23"/>
    </row>
    <row r="965" spans="2:5" x14ac:dyDescent="0.25">
      <c r="B965" s="119"/>
      <c r="C965" s="8"/>
      <c r="D965" s="23"/>
      <c r="E965" s="23"/>
    </row>
    <row r="966" spans="2:5" x14ac:dyDescent="0.25">
      <c r="B966" s="119"/>
      <c r="C966" s="8"/>
      <c r="D966" s="23"/>
      <c r="E966" s="23"/>
    </row>
    <row r="967" spans="2:5" x14ac:dyDescent="0.25">
      <c r="B967" s="119"/>
      <c r="C967" s="8"/>
      <c r="D967" s="23"/>
      <c r="E967" s="23"/>
    </row>
    <row r="968" spans="2:5" x14ac:dyDescent="0.25">
      <c r="B968" s="119"/>
      <c r="C968" s="8"/>
      <c r="D968" s="23"/>
      <c r="E968" s="23"/>
    </row>
    <row r="969" spans="2:5" x14ac:dyDescent="0.25">
      <c r="B969" s="119"/>
      <c r="C969" s="8"/>
      <c r="D969" s="23"/>
      <c r="E969" s="23"/>
    </row>
    <row r="970" spans="2:5" x14ac:dyDescent="0.25">
      <c r="B970" s="119"/>
      <c r="C970" s="8"/>
      <c r="D970" s="23"/>
      <c r="E970" s="23"/>
    </row>
    <row r="971" spans="2:5" x14ac:dyDescent="0.25">
      <c r="B971" s="119"/>
      <c r="C971" s="8"/>
      <c r="D971" s="23"/>
      <c r="E971" s="23"/>
    </row>
    <row r="972" spans="2:5" x14ac:dyDescent="0.25">
      <c r="B972" s="119"/>
      <c r="C972" s="8"/>
      <c r="D972" s="23"/>
      <c r="E972" s="23"/>
    </row>
    <row r="973" spans="2:5" x14ac:dyDescent="0.25">
      <c r="B973" s="119"/>
      <c r="C973" s="8"/>
      <c r="D973" s="23"/>
      <c r="E973" s="23"/>
    </row>
    <row r="974" spans="2:5" x14ac:dyDescent="0.25">
      <c r="B974" s="119"/>
      <c r="C974" s="8"/>
      <c r="D974" s="23"/>
      <c r="E974" s="23"/>
    </row>
    <row r="975" spans="2:5" x14ac:dyDescent="0.25">
      <c r="B975" s="119"/>
      <c r="C975" s="8"/>
      <c r="D975" s="23"/>
      <c r="E975" s="23"/>
    </row>
    <row r="976" spans="2:5" x14ac:dyDescent="0.25">
      <c r="B976" s="119"/>
      <c r="C976" s="8"/>
      <c r="D976" s="23"/>
      <c r="E976" s="23"/>
    </row>
    <row r="977" spans="2:5" x14ac:dyDescent="0.25">
      <c r="B977" s="119"/>
      <c r="C977" s="8"/>
      <c r="D977" s="23"/>
      <c r="E977" s="23"/>
    </row>
    <row r="978" spans="2:5" x14ac:dyDescent="0.25">
      <c r="B978" s="119"/>
      <c r="C978" s="8"/>
      <c r="D978" s="23"/>
      <c r="E978" s="23"/>
    </row>
    <row r="979" spans="2:5" x14ac:dyDescent="0.25">
      <c r="B979" s="119"/>
      <c r="C979" s="8"/>
      <c r="D979" s="23"/>
      <c r="E979" s="23"/>
    </row>
    <row r="980" spans="2:5" x14ac:dyDescent="0.25">
      <c r="B980" s="119"/>
      <c r="C980" s="8"/>
      <c r="D980" s="23"/>
      <c r="E980" s="23"/>
    </row>
    <row r="981" spans="2:5" x14ac:dyDescent="0.25">
      <c r="B981" s="119"/>
      <c r="C981" s="8"/>
      <c r="D981" s="23"/>
      <c r="E981" s="23"/>
    </row>
    <row r="982" spans="2:5" x14ac:dyDescent="0.25">
      <c r="B982" s="119"/>
      <c r="C982" s="8"/>
      <c r="D982" s="23"/>
      <c r="E982" s="23"/>
    </row>
    <row r="983" spans="2:5" x14ac:dyDescent="0.25">
      <c r="B983" s="119"/>
      <c r="C983" s="8"/>
      <c r="D983" s="23"/>
      <c r="E983" s="23"/>
    </row>
    <row r="984" spans="2:5" x14ac:dyDescent="0.25">
      <c r="B984" s="119"/>
      <c r="C984" s="8"/>
      <c r="D984" s="23"/>
      <c r="E984" s="23"/>
    </row>
    <row r="985" spans="2:5" x14ac:dyDescent="0.25">
      <c r="B985" s="119"/>
      <c r="C985" s="8"/>
      <c r="D985" s="23"/>
      <c r="E985" s="23"/>
    </row>
    <row r="986" spans="2:5" x14ac:dyDescent="0.25">
      <c r="B986" s="119"/>
      <c r="C986" s="8"/>
      <c r="D986" s="23"/>
      <c r="E986" s="23"/>
    </row>
    <row r="987" spans="2:5" x14ac:dyDescent="0.25">
      <c r="B987" s="119"/>
      <c r="C987" s="8"/>
      <c r="D987" s="23"/>
      <c r="E987" s="23"/>
    </row>
    <row r="988" spans="2:5" x14ac:dyDescent="0.25">
      <c r="B988" s="119"/>
      <c r="C988" s="8"/>
      <c r="D988" s="23"/>
      <c r="E988" s="23"/>
    </row>
    <row r="989" spans="2:5" x14ac:dyDescent="0.25">
      <c r="B989" s="119"/>
      <c r="C989" s="8"/>
      <c r="D989" s="23"/>
      <c r="E989" s="23"/>
    </row>
    <row r="990" spans="2:5" x14ac:dyDescent="0.25">
      <c r="B990" s="119"/>
      <c r="C990" s="8"/>
      <c r="D990" s="23"/>
      <c r="E990" s="23"/>
    </row>
    <row r="991" spans="2:5" x14ac:dyDescent="0.25">
      <c r="B991" s="119"/>
      <c r="C991" s="8"/>
      <c r="D991" s="23"/>
      <c r="E991" s="23"/>
    </row>
    <row r="992" spans="2:5" x14ac:dyDescent="0.25">
      <c r="B992" s="119"/>
      <c r="C992" s="8"/>
      <c r="D992" s="23"/>
      <c r="E992" s="23"/>
    </row>
    <row r="993" spans="2:5" x14ac:dyDescent="0.25">
      <c r="B993" s="119"/>
      <c r="C993" s="8"/>
      <c r="D993" s="23"/>
      <c r="E993" s="23"/>
    </row>
    <row r="994" spans="2:5" x14ac:dyDescent="0.25">
      <c r="B994" s="119"/>
      <c r="C994" s="8"/>
      <c r="D994" s="23"/>
      <c r="E994" s="23"/>
    </row>
    <row r="995" spans="2:5" x14ac:dyDescent="0.25">
      <c r="B995" s="119"/>
      <c r="C995" s="8"/>
      <c r="D995" s="23"/>
      <c r="E995" s="23"/>
    </row>
    <row r="996" spans="2:5" x14ac:dyDescent="0.25">
      <c r="B996" s="119"/>
      <c r="C996" s="8"/>
      <c r="D996" s="23"/>
      <c r="E996" s="23"/>
    </row>
    <row r="997" spans="2:5" x14ac:dyDescent="0.25">
      <c r="B997" s="119"/>
      <c r="C997" s="8"/>
      <c r="D997" s="23"/>
      <c r="E997" s="23"/>
    </row>
    <row r="998" spans="2:5" x14ac:dyDescent="0.25">
      <c r="B998" s="119"/>
      <c r="C998" s="8"/>
      <c r="D998" s="23"/>
      <c r="E998" s="23"/>
    </row>
    <row r="999" spans="2:5" x14ac:dyDescent="0.25">
      <c r="B999" s="119"/>
      <c r="C999" s="8"/>
      <c r="D999" s="23"/>
      <c r="E999" s="23"/>
    </row>
    <row r="1000" spans="2:5" x14ac:dyDescent="0.25">
      <c r="B1000" s="119"/>
      <c r="C1000" s="8"/>
      <c r="D1000" s="23"/>
      <c r="E1000" s="23"/>
    </row>
    <row r="1001" spans="2:5" x14ac:dyDescent="0.25">
      <c r="B1001" s="119"/>
      <c r="C1001" s="8"/>
      <c r="D1001" s="23"/>
      <c r="E1001" s="23"/>
    </row>
    <row r="1002" spans="2:5" x14ac:dyDescent="0.25">
      <c r="B1002" s="119"/>
      <c r="C1002" s="8"/>
      <c r="D1002" s="23"/>
      <c r="E1002" s="23"/>
    </row>
    <row r="1003" spans="2:5" x14ac:dyDescent="0.25">
      <c r="B1003" s="119"/>
      <c r="C1003" s="8"/>
      <c r="D1003" s="23"/>
      <c r="E1003" s="23"/>
    </row>
    <row r="1004" spans="2:5" x14ac:dyDescent="0.25">
      <c r="B1004" s="119"/>
      <c r="C1004" s="8"/>
      <c r="D1004" s="23"/>
      <c r="E1004" s="23"/>
    </row>
    <row r="1005" spans="2:5" x14ac:dyDescent="0.25">
      <c r="B1005" s="119"/>
      <c r="C1005" s="8"/>
      <c r="D1005" s="23"/>
      <c r="E1005" s="23"/>
    </row>
    <row r="1006" spans="2:5" x14ac:dyDescent="0.25">
      <c r="B1006" s="119"/>
      <c r="C1006" s="8"/>
      <c r="D1006" s="23"/>
      <c r="E1006" s="23"/>
    </row>
    <row r="1007" spans="2:5" x14ac:dyDescent="0.25">
      <c r="B1007" s="119"/>
      <c r="C1007" s="8"/>
      <c r="D1007" s="23"/>
      <c r="E1007" s="23"/>
    </row>
    <row r="1008" spans="2:5" x14ac:dyDescent="0.25">
      <c r="B1008" s="119"/>
      <c r="C1008" s="8"/>
      <c r="D1008" s="23"/>
      <c r="E1008" s="23"/>
    </row>
    <row r="1009" spans="2:5" x14ac:dyDescent="0.25">
      <c r="B1009" s="119"/>
      <c r="C1009" s="8"/>
      <c r="D1009" s="23"/>
      <c r="E1009" s="23"/>
    </row>
    <row r="1010" spans="2:5" x14ac:dyDescent="0.25">
      <c r="B1010" s="119"/>
      <c r="C1010" s="8"/>
      <c r="D1010" s="23"/>
      <c r="E1010" s="23"/>
    </row>
    <row r="1011" spans="2:5" x14ac:dyDescent="0.25">
      <c r="B1011" s="119"/>
      <c r="C1011" s="8"/>
      <c r="D1011" s="23"/>
      <c r="E1011" s="23"/>
    </row>
    <row r="1012" spans="2:5" x14ac:dyDescent="0.25">
      <c r="B1012" s="119"/>
      <c r="C1012" s="8"/>
      <c r="D1012" s="23"/>
      <c r="E1012" s="23"/>
    </row>
    <row r="1013" spans="2:5" x14ac:dyDescent="0.25">
      <c r="B1013" s="119"/>
      <c r="C1013" s="8"/>
      <c r="D1013" s="23"/>
      <c r="E1013" s="23"/>
    </row>
    <row r="1014" spans="2:5" x14ac:dyDescent="0.25">
      <c r="B1014" s="119"/>
      <c r="C1014" s="8"/>
      <c r="D1014" s="23"/>
      <c r="E1014" s="23"/>
    </row>
    <row r="1015" spans="2:5" x14ac:dyDescent="0.25">
      <c r="B1015" s="119"/>
      <c r="C1015" s="8"/>
      <c r="D1015" s="23"/>
      <c r="E1015" s="23"/>
    </row>
    <row r="1016" spans="2:5" x14ac:dyDescent="0.25">
      <c r="B1016" s="119"/>
      <c r="C1016" s="8"/>
      <c r="D1016" s="23"/>
      <c r="E1016" s="23"/>
    </row>
    <row r="1017" spans="2:5" x14ac:dyDescent="0.25">
      <c r="B1017" s="119"/>
      <c r="C1017" s="8"/>
      <c r="D1017" s="23"/>
      <c r="E1017" s="23"/>
    </row>
    <row r="1018" spans="2:5" x14ac:dyDescent="0.25">
      <c r="B1018" s="119"/>
      <c r="C1018" s="8"/>
      <c r="D1018" s="23"/>
      <c r="E1018" s="23"/>
    </row>
    <row r="1019" spans="2:5" x14ac:dyDescent="0.25">
      <c r="B1019" s="119"/>
      <c r="C1019" s="8"/>
      <c r="D1019" s="23"/>
      <c r="E1019" s="23"/>
    </row>
    <row r="1020" spans="2:5" x14ac:dyDescent="0.25">
      <c r="B1020" s="119"/>
      <c r="C1020" s="8"/>
      <c r="D1020" s="23"/>
      <c r="E1020" s="23"/>
    </row>
    <row r="1021" spans="2:5" x14ac:dyDescent="0.25">
      <c r="B1021" s="119"/>
      <c r="C1021" s="8"/>
      <c r="D1021" s="23"/>
      <c r="E1021" s="23"/>
    </row>
    <row r="1022" spans="2:5" x14ac:dyDescent="0.25">
      <c r="B1022" s="119"/>
      <c r="C1022" s="8"/>
      <c r="D1022" s="23"/>
      <c r="E1022" s="23"/>
    </row>
    <row r="1023" spans="2:5" x14ac:dyDescent="0.25">
      <c r="B1023" s="119"/>
      <c r="C1023" s="8"/>
      <c r="D1023" s="23"/>
      <c r="E1023" s="23"/>
    </row>
    <row r="1024" spans="2:5" x14ac:dyDescent="0.25">
      <c r="B1024" s="119"/>
      <c r="C1024" s="8"/>
      <c r="D1024" s="23"/>
      <c r="E1024" s="23"/>
    </row>
    <row r="1025" spans="2:5" x14ac:dyDescent="0.25">
      <c r="B1025" s="119"/>
      <c r="C1025" s="8"/>
      <c r="D1025" s="23"/>
      <c r="E1025" s="23"/>
    </row>
    <row r="1026" spans="2:5" x14ac:dyDescent="0.25">
      <c r="B1026" s="119"/>
      <c r="C1026" s="8"/>
      <c r="D1026" s="23"/>
      <c r="E1026" s="23"/>
    </row>
    <row r="1027" spans="2:5" x14ac:dyDescent="0.25">
      <c r="B1027" s="119"/>
      <c r="C1027" s="8"/>
      <c r="D1027" s="23"/>
      <c r="E1027" s="23"/>
    </row>
    <row r="1028" spans="2:5" x14ac:dyDescent="0.25">
      <c r="B1028" s="119"/>
      <c r="C1028" s="8"/>
      <c r="D1028" s="23"/>
      <c r="E1028" s="23"/>
    </row>
    <row r="1029" spans="2:5" x14ac:dyDescent="0.25">
      <c r="B1029" s="119"/>
      <c r="C1029" s="8"/>
      <c r="D1029" s="23"/>
      <c r="E1029" s="23"/>
    </row>
    <row r="1030" spans="2:5" x14ac:dyDescent="0.25">
      <c r="B1030" s="119"/>
      <c r="C1030" s="8"/>
      <c r="D1030" s="23"/>
      <c r="E1030" s="23"/>
    </row>
    <row r="1031" spans="2:5" x14ac:dyDescent="0.25">
      <c r="B1031" s="119"/>
      <c r="C1031" s="8"/>
      <c r="D1031" s="23"/>
      <c r="E1031" s="23"/>
    </row>
    <row r="1032" spans="2:5" x14ac:dyDescent="0.25">
      <c r="B1032" s="119"/>
      <c r="C1032" s="8"/>
      <c r="D1032" s="23"/>
      <c r="E1032" s="23"/>
    </row>
    <row r="1033" spans="2:5" x14ac:dyDescent="0.25">
      <c r="B1033" s="119"/>
      <c r="C1033" s="8"/>
      <c r="D1033" s="23"/>
      <c r="E1033" s="23"/>
    </row>
    <row r="1034" spans="2:5" x14ac:dyDescent="0.25">
      <c r="B1034" s="119"/>
      <c r="C1034" s="8"/>
      <c r="D1034" s="23"/>
      <c r="E1034" s="23"/>
    </row>
    <row r="1035" spans="2:5" x14ac:dyDescent="0.25">
      <c r="B1035" s="119"/>
      <c r="C1035" s="8"/>
      <c r="D1035" s="23"/>
      <c r="E1035" s="23"/>
    </row>
    <row r="1036" spans="2:5" x14ac:dyDescent="0.25">
      <c r="B1036" s="119"/>
      <c r="C1036" s="8"/>
      <c r="D1036" s="23"/>
      <c r="E1036" s="23"/>
    </row>
    <row r="1037" spans="2:5" x14ac:dyDescent="0.25">
      <c r="B1037" s="119"/>
      <c r="C1037" s="8"/>
      <c r="D1037" s="23"/>
      <c r="E1037" s="23"/>
    </row>
    <row r="1038" spans="2:5" x14ac:dyDescent="0.25">
      <c r="B1038" s="119"/>
      <c r="C1038" s="8"/>
      <c r="D1038" s="23"/>
      <c r="E1038" s="23"/>
    </row>
    <row r="1039" spans="2:5" x14ac:dyDescent="0.25">
      <c r="B1039" s="119"/>
      <c r="C1039" s="8"/>
      <c r="D1039" s="23"/>
      <c r="E1039" s="23"/>
    </row>
    <row r="1040" spans="2:5" x14ac:dyDescent="0.25">
      <c r="B1040" s="119"/>
      <c r="C1040" s="8"/>
      <c r="D1040" s="23"/>
      <c r="E1040" s="23"/>
    </row>
    <row r="1041" spans="2:5" x14ac:dyDescent="0.25">
      <c r="B1041" s="119"/>
      <c r="C1041" s="8"/>
      <c r="D1041" s="23"/>
      <c r="E1041" s="23"/>
    </row>
    <row r="1042" spans="2:5" x14ac:dyDescent="0.25">
      <c r="B1042" s="119"/>
      <c r="C1042" s="8"/>
      <c r="D1042" s="23"/>
      <c r="E1042" s="23"/>
    </row>
    <row r="1043" spans="2:5" x14ac:dyDescent="0.25">
      <c r="B1043" s="119"/>
      <c r="C1043" s="8"/>
      <c r="D1043" s="23"/>
      <c r="E1043" s="23"/>
    </row>
    <row r="1044" spans="2:5" x14ac:dyDescent="0.25">
      <c r="B1044" s="119"/>
      <c r="C1044" s="8"/>
      <c r="D1044" s="23"/>
      <c r="E1044" s="23"/>
    </row>
    <row r="1045" spans="2:5" x14ac:dyDescent="0.25">
      <c r="B1045" s="119"/>
      <c r="C1045" s="8"/>
      <c r="D1045" s="23"/>
      <c r="E1045" s="23"/>
    </row>
    <row r="1046" spans="2:5" x14ac:dyDescent="0.25">
      <c r="B1046" s="119"/>
      <c r="C1046" s="8"/>
      <c r="D1046" s="23"/>
      <c r="E1046" s="23"/>
    </row>
    <row r="1047" spans="2:5" x14ac:dyDescent="0.25">
      <c r="B1047" s="119"/>
      <c r="C1047" s="8"/>
      <c r="D1047" s="23"/>
      <c r="E1047" s="23"/>
    </row>
    <row r="1048" spans="2:5" x14ac:dyDescent="0.25">
      <c r="B1048" s="119"/>
      <c r="C1048" s="8"/>
      <c r="D1048" s="23"/>
      <c r="E1048" s="23"/>
    </row>
    <row r="1049" spans="2:5" x14ac:dyDescent="0.25">
      <c r="B1049" s="119"/>
      <c r="C1049" s="8"/>
      <c r="D1049" s="23"/>
      <c r="E1049" s="23"/>
    </row>
    <row r="1050" spans="2:5" x14ac:dyDescent="0.25">
      <c r="B1050" s="119"/>
      <c r="C1050" s="8"/>
      <c r="D1050" s="23"/>
      <c r="E1050" s="23"/>
    </row>
    <row r="1051" spans="2:5" x14ac:dyDescent="0.25">
      <c r="B1051" s="119"/>
      <c r="C1051" s="8"/>
      <c r="D1051" s="23"/>
      <c r="E1051" s="23"/>
    </row>
    <row r="1052" spans="2:5" x14ac:dyDescent="0.25">
      <c r="B1052" s="119"/>
      <c r="C1052" s="8"/>
      <c r="D1052" s="23"/>
      <c r="E1052" s="23"/>
    </row>
    <row r="1053" spans="2:5" x14ac:dyDescent="0.25">
      <c r="B1053" s="119"/>
      <c r="C1053" s="8"/>
      <c r="D1053" s="23"/>
      <c r="E1053" s="23"/>
    </row>
    <row r="1054" spans="2:5" x14ac:dyDescent="0.25">
      <c r="B1054" s="119"/>
      <c r="C1054" s="8"/>
      <c r="D1054" s="23"/>
      <c r="E1054" s="23"/>
    </row>
    <row r="1055" spans="2:5" x14ac:dyDescent="0.25">
      <c r="B1055" s="119"/>
      <c r="C1055" s="8"/>
      <c r="D1055" s="23"/>
      <c r="E1055" s="23"/>
    </row>
    <row r="1056" spans="2:5" x14ac:dyDescent="0.25">
      <c r="B1056" s="119"/>
      <c r="C1056" s="8"/>
      <c r="D1056" s="23"/>
      <c r="E1056" s="23"/>
    </row>
    <row r="1057" spans="2:5" x14ac:dyDescent="0.25">
      <c r="B1057" s="119"/>
      <c r="C1057" s="8"/>
      <c r="D1057" s="23"/>
      <c r="E1057" s="23"/>
    </row>
    <row r="1058" spans="2:5" x14ac:dyDescent="0.25">
      <c r="B1058" s="119"/>
      <c r="C1058" s="8"/>
      <c r="D1058" s="23"/>
      <c r="E1058" s="23"/>
    </row>
    <row r="1059" spans="2:5" x14ac:dyDescent="0.25">
      <c r="B1059" s="119"/>
      <c r="C1059" s="8"/>
      <c r="D1059" s="23"/>
      <c r="E1059" s="23"/>
    </row>
    <row r="1060" spans="2:5" x14ac:dyDescent="0.25">
      <c r="B1060" s="119"/>
      <c r="C1060" s="8"/>
      <c r="D1060" s="23"/>
      <c r="E1060" s="23"/>
    </row>
    <row r="1061" spans="2:5" x14ac:dyDescent="0.25">
      <c r="B1061" s="119"/>
      <c r="C1061" s="8"/>
      <c r="D1061" s="23"/>
      <c r="E1061" s="23"/>
    </row>
    <row r="1062" spans="2:5" x14ac:dyDescent="0.25">
      <c r="B1062" s="119"/>
      <c r="C1062" s="8"/>
      <c r="D1062" s="23"/>
      <c r="E1062" s="23"/>
    </row>
    <row r="1063" spans="2:5" x14ac:dyDescent="0.25">
      <c r="B1063" s="119"/>
      <c r="C1063" s="8"/>
      <c r="D1063" s="23"/>
      <c r="E1063" s="23"/>
    </row>
    <row r="1064" spans="2:5" x14ac:dyDescent="0.25">
      <c r="B1064" s="119"/>
      <c r="C1064" s="8"/>
      <c r="D1064" s="23"/>
      <c r="E1064" s="23"/>
    </row>
    <row r="1065" spans="2:5" x14ac:dyDescent="0.25">
      <c r="B1065" s="119"/>
      <c r="C1065" s="8"/>
      <c r="D1065" s="23"/>
      <c r="E1065" s="23"/>
    </row>
    <row r="1066" spans="2:5" x14ac:dyDescent="0.25">
      <c r="B1066" s="119"/>
      <c r="C1066" s="8"/>
      <c r="D1066" s="23"/>
      <c r="E1066" s="23"/>
    </row>
    <row r="1067" spans="2:5" x14ac:dyDescent="0.25">
      <c r="B1067" s="119"/>
      <c r="C1067" s="8"/>
      <c r="D1067" s="23"/>
      <c r="E1067" s="23"/>
    </row>
    <row r="1068" spans="2:5" x14ac:dyDescent="0.25">
      <c r="B1068" s="119"/>
      <c r="C1068" s="8"/>
      <c r="D1068" s="23"/>
      <c r="E1068" s="23"/>
    </row>
    <row r="1069" spans="2:5" x14ac:dyDescent="0.25">
      <c r="B1069" s="119"/>
      <c r="C1069" s="8"/>
      <c r="D1069" s="23"/>
      <c r="E1069" s="23"/>
    </row>
    <row r="1070" spans="2:5" x14ac:dyDescent="0.25">
      <c r="B1070" s="119"/>
      <c r="C1070" s="8"/>
      <c r="D1070" s="23"/>
      <c r="E1070" s="23"/>
    </row>
    <row r="1071" spans="2:5" x14ac:dyDescent="0.25">
      <c r="B1071" s="119"/>
      <c r="C1071" s="8"/>
      <c r="D1071" s="23"/>
      <c r="E1071" s="23"/>
    </row>
    <row r="1072" spans="2:5" x14ac:dyDescent="0.25">
      <c r="B1072" s="119"/>
      <c r="C1072" s="8"/>
      <c r="D1072" s="23"/>
      <c r="E1072" s="23"/>
    </row>
    <row r="1073" spans="2:5" x14ac:dyDescent="0.25">
      <c r="B1073" s="119"/>
      <c r="C1073" s="8"/>
      <c r="D1073" s="23"/>
      <c r="E1073" s="23"/>
    </row>
    <row r="1074" spans="2:5" x14ac:dyDescent="0.25">
      <c r="B1074" s="119"/>
      <c r="C1074" s="8"/>
      <c r="D1074" s="23"/>
      <c r="E1074" s="23"/>
    </row>
    <row r="1075" spans="2:5" x14ac:dyDescent="0.25">
      <c r="B1075" s="119"/>
      <c r="C1075" s="8"/>
      <c r="D1075" s="23"/>
      <c r="E1075" s="23"/>
    </row>
    <row r="1076" spans="2:5" x14ac:dyDescent="0.25">
      <c r="B1076" s="119"/>
      <c r="C1076" s="8"/>
      <c r="D1076" s="23"/>
      <c r="E1076" s="23"/>
    </row>
    <row r="1077" spans="2:5" x14ac:dyDescent="0.25">
      <c r="B1077" s="119"/>
      <c r="C1077" s="8"/>
      <c r="D1077" s="23"/>
      <c r="E1077" s="23"/>
    </row>
    <row r="1078" spans="2:5" x14ac:dyDescent="0.25">
      <c r="B1078" s="119"/>
      <c r="C1078" s="8"/>
      <c r="D1078" s="23"/>
      <c r="E1078" s="23"/>
    </row>
    <row r="1079" spans="2:5" x14ac:dyDescent="0.25">
      <c r="B1079" s="119"/>
      <c r="C1079" s="8"/>
      <c r="D1079" s="23"/>
      <c r="E1079" s="23"/>
    </row>
    <row r="1080" spans="2:5" x14ac:dyDescent="0.25">
      <c r="B1080" s="119"/>
      <c r="C1080" s="8"/>
      <c r="D1080" s="23"/>
      <c r="E1080" s="23"/>
    </row>
    <row r="1081" spans="2:5" x14ac:dyDescent="0.25">
      <c r="B1081" s="119"/>
      <c r="C1081" s="8"/>
      <c r="D1081" s="23"/>
      <c r="E1081" s="23"/>
    </row>
    <row r="1082" spans="2:5" x14ac:dyDescent="0.25">
      <c r="B1082" s="119"/>
      <c r="C1082" s="8"/>
      <c r="D1082" s="23"/>
      <c r="E1082" s="23"/>
    </row>
    <row r="1083" spans="2:5" x14ac:dyDescent="0.25">
      <c r="B1083" s="119"/>
      <c r="C1083" s="8"/>
      <c r="D1083" s="23"/>
      <c r="E1083" s="23"/>
    </row>
    <row r="1084" spans="2:5" x14ac:dyDescent="0.25">
      <c r="B1084" s="119"/>
      <c r="C1084" s="8"/>
      <c r="D1084" s="23"/>
      <c r="E1084" s="23"/>
    </row>
    <row r="1085" spans="2:5" x14ac:dyDescent="0.25">
      <c r="B1085" s="119"/>
      <c r="C1085" s="8"/>
      <c r="D1085" s="23"/>
      <c r="E1085" s="23"/>
    </row>
    <row r="1086" spans="2:5" x14ac:dyDescent="0.25">
      <c r="B1086" s="119"/>
      <c r="C1086" s="8"/>
      <c r="D1086" s="23"/>
      <c r="E1086" s="23"/>
    </row>
    <row r="1087" spans="2:5" x14ac:dyDescent="0.25">
      <c r="B1087" s="119"/>
      <c r="C1087" s="8"/>
      <c r="D1087" s="23"/>
      <c r="E1087" s="23"/>
    </row>
    <row r="1088" spans="2:5" x14ac:dyDescent="0.25">
      <c r="B1088" s="119"/>
      <c r="C1088" s="8"/>
      <c r="D1088" s="23"/>
      <c r="E1088" s="23"/>
    </row>
    <row r="1089" spans="2:5" x14ac:dyDescent="0.25">
      <c r="B1089" s="119"/>
      <c r="C1089" s="8"/>
      <c r="D1089" s="23"/>
      <c r="E1089" s="23"/>
    </row>
    <row r="1090" spans="2:5" x14ac:dyDescent="0.25">
      <c r="B1090" s="119"/>
      <c r="C1090" s="8"/>
      <c r="D1090" s="23"/>
      <c r="E1090" s="23"/>
    </row>
    <row r="1091" spans="2:5" x14ac:dyDescent="0.25">
      <c r="B1091" s="119"/>
      <c r="C1091" s="8"/>
      <c r="D1091" s="23"/>
      <c r="E1091" s="23"/>
    </row>
    <row r="1092" spans="2:5" x14ac:dyDescent="0.25">
      <c r="B1092" s="119"/>
      <c r="C1092" s="8"/>
      <c r="D1092" s="23"/>
      <c r="E1092" s="23"/>
    </row>
    <row r="1093" spans="2:5" x14ac:dyDescent="0.25">
      <c r="B1093" s="119"/>
      <c r="C1093" s="8"/>
      <c r="D1093" s="23"/>
      <c r="E1093" s="23"/>
    </row>
    <row r="1094" spans="2:5" x14ac:dyDescent="0.25">
      <c r="B1094" s="119"/>
      <c r="C1094" s="8"/>
      <c r="D1094" s="23"/>
      <c r="E1094" s="23"/>
    </row>
    <row r="1095" spans="2:5" x14ac:dyDescent="0.25">
      <c r="B1095" s="119"/>
      <c r="C1095" s="8"/>
      <c r="D1095" s="23"/>
      <c r="E1095" s="23"/>
    </row>
    <row r="1096" spans="2:5" x14ac:dyDescent="0.25">
      <c r="B1096" s="119"/>
      <c r="C1096" s="8"/>
      <c r="D1096" s="23"/>
      <c r="E1096" s="23"/>
    </row>
    <row r="1097" spans="2:5" x14ac:dyDescent="0.25">
      <c r="B1097" s="119"/>
      <c r="C1097" s="8"/>
      <c r="D1097" s="23"/>
      <c r="E1097" s="23"/>
    </row>
    <row r="1098" spans="2:5" x14ac:dyDescent="0.25">
      <c r="B1098" s="119"/>
      <c r="C1098" s="8"/>
      <c r="D1098" s="23"/>
      <c r="E1098" s="23"/>
    </row>
    <row r="1099" spans="2:5" x14ac:dyDescent="0.25">
      <c r="B1099" s="119"/>
      <c r="C1099" s="8"/>
      <c r="D1099" s="23"/>
      <c r="E1099" s="23"/>
    </row>
    <row r="1100" spans="2:5" x14ac:dyDescent="0.25">
      <c r="B1100" s="119"/>
      <c r="C1100" s="8"/>
      <c r="D1100" s="23"/>
      <c r="E1100" s="23"/>
    </row>
    <row r="1101" spans="2:5" x14ac:dyDescent="0.25">
      <c r="B1101" s="119"/>
      <c r="C1101" s="8"/>
      <c r="D1101" s="23"/>
      <c r="E1101" s="23"/>
    </row>
    <row r="1102" spans="2:5" x14ac:dyDescent="0.25">
      <c r="B1102" s="119"/>
      <c r="C1102" s="8"/>
      <c r="D1102" s="23"/>
      <c r="E1102" s="23"/>
    </row>
    <row r="1103" spans="2:5" x14ac:dyDescent="0.25">
      <c r="B1103" s="119"/>
      <c r="C1103" s="8"/>
      <c r="D1103" s="23"/>
      <c r="E1103" s="23"/>
    </row>
    <row r="1104" spans="2:5" x14ac:dyDescent="0.25">
      <c r="B1104" s="119"/>
      <c r="C1104" s="8"/>
      <c r="D1104" s="23"/>
      <c r="E1104" s="23"/>
    </row>
    <row r="1105" spans="2:5" x14ac:dyDescent="0.25">
      <c r="B1105" s="119"/>
      <c r="C1105" s="8"/>
      <c r="D1105" s="23"/>
      <c r="E1105" s="23"/>
    </row>
    <row r="1106" spans="2:5" x14ac:dyDescent="0.25">
      <c r="B1106" s="119"/>
      <c r="C1106" s="8"/>
      <c r="D1106" s="23"/>
      <c r="E1106" s="23"/>
    </row>
    <row r="1107" spans="2:5" x14ac:dyDescent="0.25">
      <c r="B1107" s="119"/>
      <c r="C1107" s="8"/>
      <c r="D1107" s="23"/>
      <c r="E1107" s="23"/>
    </row>
    <row r="1108" spans="2:5" x14ac:dyDescent="0.25">
      <c r="B1108" s="119"/>
      <c r="C1108" s="8"/>
      <c r="D1108" s="23"/>
      <c r="E1108" s="23"/>
    </row>
    <row r="1109" spans="2:5" x14ac:dyDescent="0.25">
      <c r="B1109" s="119"/>
      <c r="C1109" s="8"/>
      <c r="D1109" s="23"/>
      <c r="E1109" s="23"/>
    </row>
    <row r="1110" spans="2:5" x14ac:dyDescent="0.25">
      <c r="B1110" s="119"/>
      <c r="C1110" s="8"/>
      <c r="D1110" s="23"/>
      <c r="E1110" s="23"/>
    </row>
    <row r="1111" spans="2:5" x14ac:dyDescent="0.25">
      <c r="B1111" s="119"/>
      <c r="C1111" s="8"/>
      <c r="D1111" s="23"/>
      <c r="E1111" s="23"/>
    </row>
    <row r="1112" spans="2:5" x14ac:dyDescent="0.25">
      <c r="B1112" s="119"/>
      <c r="C1112" s="8"/>
      <c r="D1112" s="23"/>
      <c r="E1112" s="23"/>
    </row>
    <row r="1113" spans="2:5" x14ac:dyDescent="0.25">
      <c r="B1113" s="119"/>
      <c r="C1113" s="8"/>
      <c r="D1113" s="23"/>
      <c r="E1113" s="23"/>
    </row>
    <row r="1114" spans="2:5" x14ac:dyDescent="0.25">
      <c r="B1114" s="119"/>
      <c r="C1114" s="8"/>
      <c r="D1114" s="23"/>
      <c r="E1114" s="23"/>
    </row>
    <row r="1115" spans="2:5" x14ac:dyDescent="0.25">
      <c r="B1115" s="119"/>
      <c r="C1115" s="8"/>
      <c r="D1115" s="23"/>
      <c r="E1115" s="23"/>
    </row>
    <row r="1116" spans="2:5" x14ac:dyDescent="0.25">
      <c r="B1116" s="119"/>
      <c r="C1116" s="8"/>
      <c r="D1116" s="23"/>
      <c r="E1116" s="23"/>
    </row>
    <row r="1117" spans="2:5" x14ac:dyDescent="0.25">
      <c r="B1117" s="119"/>
      <c r="C1117" s="8"/>
      <c r="D1117" s="23"/>
      <c r="E1117" s="23"/>
    </row>
    <row r="1118" spans="2:5" x14ac:dyDescent="0.25">
      <c r="B1118" s="119"/>
      <c r="C1118" s="8"/>
      <c r="D1118" s="23"/>
      <c r="E1118" s="23"/>
    </row>
    <row r="1119" spans="2:5" x14ac:dyDescent="0.25">
      <c r="B1119" s="119"/>
      <c r="C1119" s="8"/>
      <c r="D1119" s="23"/>
      <c r="E1119" s="23"/>
    </row>
    <row r="1120" spans="2:5" x14ac:dyDescent="0.25">
      <c r="B1120" s="119"/>
      <c r="C1120" s="8"/>
      <c r="D1120" s="23"/>
      <c r="E1120" s="23"/>
    </row>
    <row r="1121" spans="2:5" x14ac:dyDescent="0.25">
      <c r="B1121" s="119"/>
      <c r="C1121" s="8"/>
      <c r="D1121" s="23"/>
      <c r="E1121" s="23"/>
    </row>
    <row r="1122" spans="2:5" x14ac:dyDescent="0.25">
      <c r="B1122" s="119"/>
      <c r="C1122" s="8"/>
      <c r="D1122" s="23"/>
      <c r="E1122" s="23"/>
    </row>
    <row r="1123" spans="2:5" x14ac:dyDescent="0.25">
      <c r="B1123" s="119"/>
      <c r="C1123" s="8"/>
      <c r="D1123" s="23"/>
      <c r="E1123" s="23"/>
    </row>
    <row r="1124" spans="2:5" x14ac:dyDescent="0.25">
      <c r="B1124" s="119"/>
      <c r="C1124" s="8"/>
      <c r="D1124" s="23"/>
      <c r="E1124" s="23"/>
    </row>
    <row r="1125" spans="2:5" x14ac:dyDescent="0.25">
      <c r="B1125" s="119"/>
      <c r="C1125" s="8"/>
      <c r="D1125" s="23"/>
      <c r="E1125" s="23"/>
    </row>
    <row r="1126" spans="2:5" x14ac:dyDescent="0.25">
      <c r="B1126" s="119"/>
      <c r="C1126" s="8"/>
      <c r="D1126" s="23"/>
      <c r="E1126" s="23"/>
    </row>
    <row r="1127" spans="2:5" x14ac:dyDescent="0.25">
      <c r="B1127" s="119"/>
      <c r="C1127" s="8"/>
      <c r="D1127" s="23"/>
      <c r="E1127" s="23"/>
    </row>
    <row r="1128" spans="2:5" x14ac:dyDescent="0.25">
      <c r="B1128" s="119"/>
      <c r="C1128" s="8"/>
      <c r="D1128" s="23"/>
      <c r="E1128" s="23"/>
    </row>
    <row r="1129" spans="2:5" x14ac:dyDescent="0.25">
      <c r="B1129" s="119"/>
      <c r="C1129" s="8"/>
      <c r="D1129" s="23"/>
      <c r="E1129" s="23"/>
    </row>
    <row r="1130" spans="2:5" x14ac:dyDescent="0.25">
      <c r="B1130" s="119"/>
      <c r="C1130" s="8"/>
      <c r="D1130" s="23"/>
      <c r="E1130" s="23"/>
    </row>
    <row r="1131" spans="2:5" x14ac:dyDescent="0.25">
      <c r="B1131" s="119"/>
      <c r="C1131" s="8"/>
      <c r="D1131" s="23"/>
      <c r="E1131" s="23"/>
    </row>
    <row r="1132" spans="2:5" x14ac:dyDescent="0.25">
      <c r="B1132" s="119"/>
      <c r="C1132" s="8"/>
      <c r="D1132" s="23"/>
      <c r="E1132" s="23"/>
    </row>
    <row r="1133" spans="2:5" x14ac:dyDescent="0.25">
      <c r="B1133" s="119"/>
      <c r="C1133" s="8"/>
      <c r="D1133" s="23"/>
      <c r="E1133" s="23"/>
    </row>
    <row r="1134" spans="2:5" x14ac:dyDescent="0.25">
      <c r="B1134" s="119"/>
      <c r="C1134" s="8"/>
      <c r="D1134" s="23"/>
      <c r="E1134" s="23"/>
    </row>
    <row r="1135" spans="2:5" x14ac:dyDescent="0.25">
      <c r="B1135" s="119"/>
      <c r="C1135" s="8"/>
      <c r="D1135" s="23"/>
      <c r="E1135" s="23"/>
    </row>
    <row r="1136" spans="2:5" x14ac:dyDescent="0.25">
      <c r="B1136" s="119"/>
      <c r="C1136" s="8"/>
      <c r="D1136" s="23"/>
      <c r="E1136" s="23"/>
    </row>
    <row r="1137" spans="2:5" x14ac:dyDescent="0.25">
      <c r="B1137" s="119"/>
      <c r="C1137" s="8"/>
      <c r="D1137" s="23"/>
      <c r="E1137" s="23"/>
    </row>
    <row r="1138" spans="2:5" x14ac:dyDescent="0.25">
      <c r="B1138" s="119"/>
      <c r="C1138" s="8"/>
      <c r="D1138" s="23"/>
      <c r="E1138" s="23"/>
    </row>
    <row r="1139" spans="2:5" x14ac:dyDescent="0.25">
      <c r="B1139" s="119"/>
      <c r="C1139" s="8"/>
      <c r="D1139" s="23"/>
      <c r="E1139" s="23"/>
    </row>
    <row r="1140" spans="2:5" x14ac:dyDescent="0.25">
      <c r="B1140" s="119"/>
      <c r="C1140" s="8"/>
      <c r="D1140" s="23"/>
      <c r="E1140" s="23"/>
    </row>
    <row r="1141" spans="2:5" x14ac:dyDescent="0.25">
      <c r="B1141" s="119"/>
      <c r="C1141" s="8"/>
      <c r="D1141" s="23"/>
      <c r="E1141" s="23"/>
    </row>
    <row r="1142" spans="2:5" x14ac:dyDescent="0.25">
      <c r="B1142" s="119"/>
      <c r="C1142" s="8"/>
      <c r="D1142" s="23"/>
      <c r="E1142" s="23"/>
    </row>
    <row r="1143" spans="2:5" x14ac:dyDescent="0.25">
      <c r="B1143" s="119"/>
      <c r="C1143" s="8"/>
      <c r="D1143" s="23"/>
      <c r="E1143" s="23"/>
    </row>
    <row r="1144" spans="2:5" x14ac:dyDescent="0.25">
      <c r="B1144" s="119"/>
      <c r="C1144" s="8"/>
      <c r="D1144" s="23"/>
      <c r="E1144" s="23"/>
    </row>
    <row r="1145" spans="2:5" x14ac:dyDescent="0.25">
      <c r="B1145" s="119"/>
      <c r="C1145" s="8"/>
      <c r="D1145" s="23"/>
      <c r="E1145" s="23"/>
    </row>
    <row r="1146" spans="2:5" x14ac:dyDescent="0.25">
      <c r="B1146" s="119"/>
      <c r="C1146" s="8"/>
      <c r="D1146" s="23"/>
      <c r="E1146" s="23"/>
    </row>
    <row r="1147" spans="2:5" x14ac:dyDescent="0.25">
      <c r="B1147" s="119"/>
      <c r="C1147" s="8"/>
      <c r="D1147" s="23"/>
      <c r="E1147" s="23"/>
    </row>
    <row r="1148" spans="2:5" x14ac:dyDescent="0.25">
      <c r="B1148" s="119"/>
      <c r="C1148" s="8"/>
      <c r="D1148" s="23"/>
      <c r="E1148" s="23"/>
    </row>
    <row r="1149" spans="2:5" x14ac:dyDescent="0.25">
      <c r="B1149" s="119"/>
      <c r="C1149" s="8"/>
      <c r="D1149" s="23"/>
      <c r="E1149" s="23"/>
    </row>
    <row r="1150" spans="2:5" x14ac:dyDescent="0.25">
      <c r="B1150" s="119"/>
      <c r="C1150" s="8"/>
      <c r="D1150" s="23"/>
      <c r="E1150" s="23"/>
    </row>
    <row r="1151" spans="2:5" x14ac:dyDescent="0.25">
      <c r="B1151" s="119"/>
      <c r="C1151" s="8"/>
      <c r="D1151" s="23"/>
      <c r="E1151" s="23"/>
    </row>
    <row r="1152" spans="2:5" x14ac:dyDescent="0.25">
      <c r="B1152" s="119"/>
      <c r="C1152" s="8"/>
      <c r="D1152" s="23"/>
      <c r="E1152" s="23"/>
    </row>
    <row r="1153" spans="2:5" x14ac:dyDescent="0.25">
      <c r="B1153" s="119"/>
      <c r="C1153" s="8"/>
      <c r="D1153" s="23"/>
      <c r="E1153" s="23"/>
    </row>
    <row r="1154" spans="2:5" x14ac:dyDescent="0.25">
      <c r="B1154" s="119"/>
      <c r="C1154" s="8"/>
      <c r="D1154" s="23"/>
      <c r="E1154" s="23"/>
    </row>
    <row r="1155" spans="2:5" x14ac:dyDescent="0.25">
      <c r="B1155" s="119"/>
      <c r="C1155" s="8"/>
      <c r="D1155" s="23"/>
      <c r="E1155" s="23"/>
    </row>
    <row r="1156" spans="2:5" x14ac:dyDescent="0.25">
      <c r="B1156" s="119"/>
      <c r="C1156" s="8"/>
      <c r="D1156" s="23"/>
      <c r="E1156" s="23"/>
    </row>
    <row r="1157" spans="2:5" x14ac:dyDescent="0.25">
      <c r="B1157" s="119"/>
      <c r="C1157" s="8"/>
      <c r="D1157" s="23"/>
      <c r="E1157" s="23"/>
    </row>
    <row r="1158" spans="2:5" x14ac:dyDescent="0.25">
      <c r="B1158" s="119"/>
      <c r="C1158" s="8"/>
      <c r="D1158" s="23"/>
      <c r="E1158" s="23"/>
    </row>
    <row r="1159" spans="2:5" x14ac:dyDescent="0.25">
      <c r="B1159" s="119"/>
      <c r="C1159" s="8"/>
      <c r="D1159" s="23"/>
      <c r="E1159" s="23"/>
    </row>
    <row r="1160" spans="2:5" x14ac:dyDescent="0.25">
      <c r="B1160" s="119"/>
      <c r="C1160" s="8"/>
      <c r="D1160" s="23"/>
      <c r="E1160" s="23"/>
    </row>
    <row r="1161" spans="2:5" x14ac:dyDescent="0.25">
      <c r="B1161" s="119"/>
      <c r="C1161" s="8"/>
      <c r="D1161" s="23"/>
      <c r="E1161" s="23"/>
    </row>
    <row r="1162" spans="2:5" x14ac:dyDescent="0.25">
      <c r="B1162" s="119"/>
      <c r="C1162" s="8"/>
      <c r="D1162" s="23"/>
      <c r="E1162" s="23"/>
    </row>
    <row r="1163" spans="2:5" x14ac:dyDescent="0.25">
      <c r="B1163" s="119"/>
      <c r="C1163" s="8"/>
      <c r="D1163" s="23"/>
      <c r="E1163" s="23"/>
    </row>
    <row r="1164" spans="2:5" x14ac:dyDescent="0.25">
      <c r="B1164" s="119"/>
      <c r="C1164" s="8"/>
      <c r="D1164" s="23"/>
      <c r="E1164" s="23"/>
    </row>
    <row r="1165" spans="2:5" x14ac:dyDescent="0.25">
      <c r="B1165" s="119"/>
      <c r="C1165" s="8"/>
      <c r="D1165" s="23"/>
      <c r="E1165" s="23"/>
    </row>
    <row r="1166" spans="2:5" x14ac:dyDescent="0.25">
      <c r="B1166" s="119"/>
      <c r="C1166" s="8"/>
      <c r="D1166" s="23"/>
      <c r="E1166" s="23"/>
    </row>
    <row r="1167" spans="2:5" x14ac:dyDescent="0.25">
      <c r="B1167" s="119"/>
      <c r="C1167" s="8"/>
      <c r="D1167" s="23"/>
      <c r="E1167" s="23"/>
    </row>
    <row r="1168" spans="2:5" x14ac:dyDescent="0.25">
      <c r="B1168" s="119"/>
      <c r="C1168" s="8"/>
      <c r="D1168" s="23"/>
      <c r="E1168" s="23"/>
    </row>
    <row r="1169" spans="2:5" x14ac:dyDescent="0.25">
      <c r="B1169" s="119"/>
      <c r="C1169" s="8"/>
      <c r="D1169" s="23"/>
      <c r="E1169" s="23"/>
    </row>
    <row r="1170" spans="2:5" x14ac:dyDescent="0.25">
      <c r="B1170" s="119"/>
      <c r="C1170" s="8"/>
      <c r="D1170" s="23"/>
      <c r="E1170" s="23"/>
    </row>
    <row r="1171" spans="2:5" x14ac:dyDescent="0.25">
      <c r="B1171" s="119"/>
      <c r="C1171" s="8"/>
      <c r="D1171" s="23"/>
      <c r="E1171" s="23"/>
    </row>
    <row r="1172" spans="2:5" x14ac:dyDescent="0.25">
      <c r="B1172" s="119"/>
      <c r="C1172" s="8"/>
      <c r="D1172" s="23"/>
      <c r="E1172" s="23"/>
    </row>
    <row r="1173" spans="2:5" x14ac:dyDescent="0.25">
      <c r="B1173" s="119"/>
      <c r="C1173" s="8"/>
      <c r="D1173" s="23"/>
      <c r="E1173" s="23"/>
    </row>
    <row r="1174" spans="2:5" x14ac:dyDescent="0.25">
      <c r="B1174" s="119"/>
      <c r="C1174" s="8"/>
      <c r="D1174" s="23"/>
      <c r="E1174" s="23"/>
    </row>
    <row r="1175" spans="2:5" x14ac:dyDescent="0.25">
      <c r="B1175" s="119"/>
      <c r="C1175" s="8"/>
      <c r="D1175" s="23"/>
      <c r="E1175" s="23"/>
    </row>
    <row r="1176" spans="2:5" x14ac:dyDescent="0.25">
      <c r="B1176" s="119"/>
      <c r="C1176" s="8"/>
      <c r="D1176" s="23"/>
      <c r="E1176" s="23"/>
    </row>
    <row r="1177" spans="2:5" x14ac:dyDescent="0.25">
      <c r="B1177" s="119"/>
      <c r="C1177" s="8"/>
      <c r="D1177" s="23"/>
      <c r="E1177" s="23"/>
    </row>
    <row r="1178" spans="2:5" x14ac:dyDescent="0.25">
      <c r="B1178" s="119"/>
      <c r="C1178" s="8"/>
      <c r="D1178" s="23"/>
      <c r="E1178" s="23"/>
    </row>
    <row r="1179" spans="2:5" x14ac:dyDescent="0.25">
      <c r="B1179" s="119"/>
      <c r="C1179" s="8"/>
      <c r="D1179" s="23"/>
      <c r="E1179" s="23"/>
    </row>
    <row r="1180" spans="2:5" x14ac:dyDescent="0.25">
      <c r="B1180" s="119"/>
      <c r="C1180" s="8"/>
      <c r="D1180" s="23"/>
      <c r="E1180" s="23"/>
    </row>
    <row r="1181" spans="2:5" x14ac:dyDescent="0.25">
      <c r="B1181" s="119"/>
      <c r="C1181" s="8"/>
      <c r="D1181" s="23"/>
      <c r="E1181" s="23"/>
    </row>
    <row r="1182" spans="2:5" x14ac:dyDescent="0.25">
      <c r="B1182" s="119"/>
      <c r="C1182" s="8"/>
      <c r="D1182" s="23"/>
      <c r="E1182" s="23"/>
    </row>
    <row r="1183" spans="2:5" x14ac:dyDescent="0.25">
      <c r="B1183" s="119"/>
      <c r="C1183" s="8"/>
      <c r="D1183" s="23"/>
      <c r="E1183" s="23"/>
    </row>
    <row r="1184" spans="2:5" x14ac:dyDescent="0.25">
      <c r="B1184" s="119"/>
      <c r="C1184" s="8"/>
      <c r="D1184" s="23"/>
      <c r="E1184" s="23"/>
    </row>
    <row r="1185" spans="2:5" x14ac:dyDescent="0.25">
      <c r="B1185" s="119"/>
      <c r="C1185" s="8"/>
      <c r="D1185" s="23"/>
      <c r="E1185" s="23"/>
    </row>
    <row r="1186" spans="2:5" x14ac:dyDescent="0.25">
      <c r="B1186" s="119"/>
      <c r="C1186" s="8"/>
      <c r="D1186" s="23"/>
      <c r="E1186" s="23"/>
    </row>
    <row r="1187" spans="2:5" x14ac:dyDescent="0.25">
      <c r="B1187" s="119"/>
      <c r="C1187" s="8"/>
      <c r="D1187" s="23"/>
      <c r="E1187" s="23"/>
    </row>
    <row r="1188" spans="2:5" x14ac:dyDescent="0.25">
      <c r="B1188" s="119"/>
      <c r="C1188" s="8"/>
      <c r="D1188" s="23"/>
      <c r="E1188" s="23"/>
    </row>
    <row r="1189" spans="2:5" x14ac:dyDescent="0.25">
      <c r="B1189" s="119"/>
      <c r="C1189" s="8"/>
      <c r="D1189" s="23"/>
      <c r="E1189" s="23"/>
    </row>
    <row r="1190" spans="2:5" x14ac:dyDescent="0.25">
      <c r="B1190" s="119"/>
      <c r="C1190" s="8"/>
      <c r="D1190" s="23"/>
      <c r="E1190" s="23"/>
    </row>
    <row r="1191" spans="2:5" x14ac:dyDescent="0.25">
      <c r="B1191" s="119"/>
      <c r="C1191" s="8"/>
      <c r="D1191" s="23"/>
      <c r="E1191" s="23"/>
    </row>
    <row r="1192" spans="2:5" x14ac:dyDescent="0.25">
      <c r="B1192" s="119"/>
      <c r="C1192" s="8"/>
      <c r="D1192" s="23"/>
      <c r="E1192" s="23"/>
    </row>
    <row r="1193" spans="2:5" x14ac:dyDescent="0.25">
      <c r="B1193" s="119"/>
      <c r="C1193" s="8"/>
      <c r="D1193" s="23"/>
      <c r="E1193" s="23"/>
    </row>
    <row r="1194" spans="2:5" x14ac:dyDescent="0.25">
      <c r="B1194" s="119"/>
      <c r="C1194" s="8"/>
      <c r="D1194" s="23"/>
      <c r="E1194" s="23"/>
    </row>
    <row r="1195" spans="2:5" x14ac:dyDescent="0.25">
      <c r="B1195" s="119"/>
      <c r="C1195" s="8"/>
      <c r="D1195" s="23"/>
      <c r="E1195" s="23"/>
    </row>
    <row r="1196" spans="2:5" x14ac:dyDescent="0.25">
      <c r="B1196" s="119"/>
      <c r="C1196" s="8"/>
      <c r="D1196" s="23"/>
      <c r="E1196" s="23"/>
    </row>
    <row r="1197" spans="2:5" x14ac:dyDescent="0.25">
      <c r="B1197" s="119"/>
      <c r="C1197" s="8"/>
      <c r="D1197" s="23"/>
      <c r="E1197" s="23"/>
    </row>
    <row r="1198" spans="2:5" x14ac:dyDescent="0.25">
      <c r="B1198" s="119"/>
      <c r="C1198" s="8"/>
      <c r="D1198" s="23"/>
      <c r="E1198" s="23"/>
    </row>
    <row r="1199" spans="2:5" x14ac:dyDescent="0.25">
      <c r="B1199" s="119"/>
      <c r="C1199" s="8"/>
      <c r="D1199" s="23"/>
      <c r="E1199" s="23"/>
    </row>
    <row r="1200" spans="2:5" x14ac:dyDescent="0.25">
      <c r="B1200" s="119"/>
      <c r="C1200" s="8"/>
      <c r="D1200" s="23"/>
      <c r="E1200" s="23"/>
    </row>
    <row r="1201" spans="2:5" x14ac:dyDescent="0.25">
      <c r="B1201" s="119"/>
      <c r="C1201" s="8"/>
      <c r="D1201" s="23"/>
      <c r="E1201" s="23"/>
    </row>
    <row r="1202" spans="2:5" x14ac:dyDescent="0.25">
      <c r="B1202" s="119"/>
      <c r="C1202" s="8"/>
      <c r="D1202" s="23"/>
      <c r="E1202" s="23"/>
    </row>
    <row r="1203" spans="2:5" x14ac:dyDescent="0.25">
      <c r="B1203" s="119"/>
      <c r="C1203" s="8"/>
      <c r="D1203" s="23"/>
      <c r="E1203" s="23"/>
    </row>
    <row r="1204" spans="2:5" x14ac:dyDescent="0.25">
      <c r="B1204" s="119"/>
      <c r="C1204" s="8"/>
      <c r="D1204" s="23"/>
      <c r="E1204" s="23"/>
    </row>
    <row r="1205" spans="2:5" x14ac:dyDescent="0.25">
      <c r="B1205" s="119"/>
      <c r="C1205" s="8"/>
      <c r="D1205" s="23"/>
      <c r="E1205" s="23"/>
    </row>
    <row r="1206" spans="2:5" x14ac:dyDescent="0.25">
      <c r="B1206" s="119"/>
      <c r="C1206" s="8"/>
      <c r="D1206" s="23"/>
      <c r="E1206" s="23"/>
    </row>
    <row r="1207" spans="2:5" x14ac:dyDescent="0.25">
      <c r="B1207" s="119"/>
      <c r="C1207" s="8"/>
      <c r="D1207" s="23"/>
      <c r="E1207" s="23"/>
    </row>
    <row r="1208" spans="2:5" x14ac:dyDescent="0.25">
      <c r="B1208" s="119"/>
      <c r="C1208" s="8"/>
      <c r="D1208" s="23"/>
      <c r="E1208" s="23"/>
    </row>
    <row r="1209" spans="2:5" x14ac:dyDescent="0.25">
      <c r="B1209" s="119"/>
      <c r="C1209" s="8"/>
      <c r="D1209" s="23"/>
      <c r="E1209" s="23"/>
    </row>
    <row r="1210" spans="2:5" x14ac:dyDescent="0.25">
      <c r="B1210" s="119"/>
      <c r="C1210" s="8"/>
      <c r="D1210" s="23"/>
      <c r="E1210" s="23"/>
    </row>
    <row r="1211" spans="2:5" x14ac:dyDescent="0.25">
      <c r="B1211" s="119"/>
      <c r="C1211" s="8"/>
      <c r="D1211" s="23"/>
      <c r="E1211" s="23"/>
    </row>
    <row r="1212" spans="2:5" x14ac:dyDescent="0.25">
      <c r="B1212" s="119"/>
      <c r="C1212" s="8"/>
      <c r="D1212" s="23"/>
      <c r="E1212" s="23"/>
    </row>
    <row r="1213" spans="2:5" x14ac:dyDescent="0.25">
      <c r="B1213" s="119"/>
      <c r="C1213" s="8"/>
      <c r="D1213" s="23"/>
      <c r="E1213" s="23"/>
    </row>
    <row r="1214" spans="2:5" x14ac:dyDescent="0.25">
      <c r="B1214" s="119"/>
      <c r="C1214" s="8"/>
      <c r="D1214" s="23"/>
      <c r="E1214" s="23"/>
    </row>
    <row r="1215" spans="2:5" x14ac:dyDescent="0.25">
      <c r="B1215" s="119"/>
      <c r="C1215" s="8"/>
      <c r="D1215" s="23"/>
      <c r="E1215" s="23"/>
    </row>
    <row r="1216" spans="2:5" x14ac:dyDescent="0.25">
      <c r="B1216" s="119"/>
      <c r="C1216" s="8"/>
      <c r="D1216" s="23"/>
      <c r="E1216" s="23"/>
    </row>
    <row r="1217" spans="2:5" x14ac:dyDescent="0.25">
      <c r="B1217" s="119"/>
      <c r="C1217" s="8"/>
      <c r="D1217" s="23"/>
      <c r="E1217" s="23"/>
    </row>
    <row r="1218" spans="2:5" x14ac:dyDescent="0.25">
      <c r="B1218" s="119"/>
      <c r="C1218" s="8"/>
      <c r="D1218" s="23"/>
      <c r="E1218" s="23"/>
    </row>
    <row r="1219" spans="2:5" x14ac:dyDescent="0.25">
      <c r="B1219" s="119"/>
      <c r="C1219" s="8"/>
      <c r="D1219" s="23"/>
      <c r="E1219" s="23"/>
    </row>
    <row r="1220" spans="2:5" x14ac:dyDescent="0.25">
      <c r="B1220" s="119"/>
      <c r="C1220" s="8"/>
      <c r="D1220" s="23"/>
      <c r="E1220" s="23"/>
    </row>
    <row r="1221" spans="2:5" x14ac:dyDescent="0.25">
      <c r="B1221" s="119"/>
      <c r="C1221" s="8"/>
      <c r="D1221" s="23"/>
      <c r="E1221" s="23"/>
    </row>
    <row r="1222" spans="2:5" x14ac:dyDescent="0.25">
      <c r="B1222" s="119"/>
      <c r="C1222" s="8"/>
      <c r="D1222" s="23"/>
      <c r="E1222" s="23"/>
    </row>
    <row r="1223" spans="2:5" x14ac:dyDescent="0.25">
      <c r="B1223" s="119"/>
      <c r="C1223" s="8"/>
      <c r="D1223" s="23"/>
      <c r="E1223" s="23"/>
    </row>
    <row r="1224" spans="2:5" x14ac:dyDescent="0.25">
      <c r="B1224" s="119"/>
      <c r="C1224" s="8"/>
      <c r="D1224" s="23"/>
      <c r="E1224" s="23"/>
    </row>
    <row r="1225" spans="2:5" x14ac:dyDescent="0.25">
      <c r="B1225" s="119"/>
      <c r="C1225" s="8"/>
      <c r="D1225" s="23"/>
      <c r="E1225" s="23"/>
    </row>
    <row r="1226" spans="2:5" x14ac:dyDescent="0.25">
      <c r="B1226" s="119"/>
      <c r="C1226" s="8"/>
      <c r="D1226" s="23"/>
      <c r="E1226" s="23"/>
    </row>
    <row r="1227" spans="2:5" x14ac:dyDescent="0.25">
      <c r="B1227" s="119"/>
      <c r="C1227" s="8"/>
      <c r="D1227" s="23"/>
      <c r="E1227" s="23"/>
    </row>
    <row r="1228" spans="2:5" x14ac:dyDescent="0.25">
      <c r="B1228" s="119"/>
      <c r="C1228" s="8"/>
      <c r="D1228" s="23"/>
      <c r="E1228" s="23"/>
    </row>
    <row r="1229" spans="2:5" x14ac:dyDescent="0.25">
      <c r="B1229" s="119"/>
      <c r="C1229" s="8"/>
      <c r="D1229" s="23"/>
      <c r="E1229" s="23"/>
    </row>
    <row r="1230" spans="2:5" x14ac:dyDescent="0.25">
      <c r="B1230" s="119"/>
      <c r="C1230" s="8"/>
      <c r="D1230" s="23"/>
      <c r="E1230" s="23"/>
    </row>
    <row r="1231" spans="2:5" x14ac:dyDescent="0.25">
      <c r="B1231" s="119"/>
      <c r="C1231" s="8"/>
      <c r="D1231" s="23"/>
      <c r="E1231" s="23"/>
    </row>
    <row r="1232" spans="2:5" x14ac:dyDescent="0.25">
      <c r="B1232" s="119"/>
      <c r="C1232" s="8"/>
      <c r="D1232" s="23"/>
      <c r="E1232" s="23"/>
    </row>
    <row r="1233" spans="2:5" x14ac:dyDescent="0.25">
      <c r="B1233" s="119"/>
      <c r="C1233" s="8"/>
      <c r="D1233" s="23"/>
      <c r="E1233" s="23"/>
    </row>
    <row r="1234" spans="2:5" x14ac:dyDescent="0.25">
      <c r="B1234" s="119"/>
      <c r="C1234" s="8"/>
      <c r="D1234" s="23"/>
      <c r="E1234" s="23"/>
    </row>
    <row r="1235" spans="2:5" x14ac:dyDescent="0.25">
      <c r="B1235" s="119"/>
      <c r="C1235" s="8"/>
      <c r="D1235" s="23"/>
      <c r="E1235" s="23"/>
    </row>
    <row r="1236" spans="2:5" x14ac:dyDescent="0.25">
      <c r="B1236" s="119"/>
      <c r="C1236" s="8"/>
      <c r="D1236" s="23"/>
      <c r="E1236" s="23"/>
    </row>
    <row r="1237" spans="2:5" x14ac:dyDescent="0.25">
      <c r="B1237" s="119"/>
      <c r="C1237" s="8"/>
      <c r="D1237" s="23"/>
      <c r="E1237" s="23"/>
    </row>
    <row r="1238" spans="2:5" x14ac:dyDescent="0.25">
      <c r="B1238" s="119"/>
      <c r="C1238" s="8"/>
      <c r="D1238" s="23"/>
      <c r="E1238" s="23"/>
    </row>
    <row r="1239" spans="2:5" x14ac:dyDescent="0.25">
      <c r="B1239" s="119"/>
      <c r="C1239" s="8"/>
      <c r="D1239" s="23"/>
      <c r="E1239" s="23"/>
    </row>
    <row r="1240" spans="2:5" x14ac:dyDescent="0.25">
      <c r="B1240" s="119"/>
      <c r="C1240" s="8"/>
      <c r="D1240" s="23"/>
      <c r="E1240" s="23"/>
    </row>
    <row r="1241" spans="2:5" x14ac:dyDescent="0.25">
      <c r="B1241" s="119"/>
      <c r="C1241" s="8"/>
      <c r="D1241" s="23"/>
      <c r="E1241" s="23"/>
    </row>
    <row r="1242" spans="2:5" x14ac:dyDescent="0.25">
      <c r="B1242" s="119"/>
      <c r="C1242" s="8"/>
      <c r="D1242" s="23"/>
      <c r="E1242" s="23"/>
    </row>
    <row r="1243" spans="2:5" x14ac:dyDescent="0.25">
      <c r="B1243" s="119"/>
      <c r="C1243" s="8"/>
      <c r="D1243" s="23"/>
      <c r="E1243" s="23"/>
    </row>
    <row r="1244" spans="2:5" x14ac:dyDescent="0.25">
      <c r="B1244" s="119"/>
      <c r="C1244" s="8"/>
      <c r="D1244" s="23"/>
      <c r="E1244" s="23"/>
    </row>
    <row r="1245" spans="2:5" x14ac:dyDescent="0.25">
      <c r="B1245" s="119"/>
      <c r="C1245" s="8"/>
      <c r="D1245" s="23"/>
      <c r="E1245" s="23"/>
    </row>
    <row r="1246" spans="2:5" x14ac:dyDescent="0.25">
      <c r="B1246" s="119"/>
      <c r="C1246" s="8"/>
      <c r="D1246" s="23"/>
      <c r="E1246" s="23"/>
    </row>
    <row r="1247" spans="2:5" x14ac:dyDescent="0.25">
      <c r="B1247" s="119"/>
      <c r="C1247" s="8"/>
      <c r="D1247" s="23"/>
      <c r="E1247" s="23"/>
    </row>
    <row r="1248" spans="2:5" x14ac:dyDescent="0.25">
      <c r="B1248" s="119"/>
      <c r="C1248" s="8"/>
      <c r="D1248" s="23"/>
      <c r="E1248" s="23"/>
    </row>
    <row r="1249" spans="2:5" x14ac:dyDescent="0.25">
      <c r="B1249" s="119"/>
      <c r="C1249" s="8"/>
      <c r="D1249" s="23"/>
      <c r="E1249" s="23"/>
    </row>
    <row r="1250" spans="2:5" x14ac:dyDescent="0.25">
      <c r="B1250" s="119"/>
      <c r="C1250" s="8"/>
      <c r="D1250" s="23"/>
      <c r="E1250" s="23"/>
    </row>
    <row r="1251" spans="2:5" x14ac:dyDescent="0.25">
      <c r="B1251" s="119"/>
      <c r="C1251" s="8"/>
      <c r="D1251" s="23"/>
      <c r="E1251" s="23"/>
    </row>
    <row r="1252" spans="2:5" x14ac:dyDescent="0.25">
      <c r="B1252" s="119"/>
      <c r="C1252" s="8"/>
      <c r="D1252" s="23"/>
      <c r="E1252" s="23"/>
    </row>
    <row r="1253" spans="2:5" x14ac:dyDescent="0.25">
      <c r="B1253" s="119"/>
      <c r="C1253" s="8"/>
      <c r="D1253" s="23"/>
      <c r="E1253" s="23"/>
    </row>
    <row r="1254" spans="2:5" x14ac:dyDescent="0.25">
      <c r="B1254" s="119"/>
      <c r="C1254" s="8"/>
      <c r="D1254" s="23"/>
      <c r="E1254" s="23"/>
    </row>
    <row r="1255" spans="2:5" x14ac:dyDescent="0.25">
      <c r="B1255" s="119"/>
      <c r="C1255" s="8"/>
      <c r="D1255" s="23"/>
      <c r="E1255" s="23"/>
    </row>
    <row r="1256" spans="2:5" x14ac:dyDescent="0.25">
      <c r="B1256" s="119"/>
      <c r="C1256" s="8"/>
      <c r="D1256" s="23"/>
      <c r="E1256" s="23"/>
    </row>
    <row r="1257" spans="2:5" x14ac:dyDescent="0.25">
      <c r="B1257" s="119"/>
      <c r="C1257" s="8"/>
      <c r="D1257" s="23"/>
      <c r="E1257" s="23"/>
    </row>
    <row r="1258" spans="2:5" x14ac:dyDescent="0.25">
      <c r="B1258" s="119"/>
      <c r="C1258" s="8"/>
      <c r="D1258" s="23"/>
      <c r="E1258" s="23"/>
    </row>
    <row r="1259" spans="2:5" x14ac:dyDescent="0.25">
      <c r="B1259" s="119"/>
      <c r="C1259" s="8"/>
      <c r="D1259" s="23"/>
      <c r="E1259" s="23"/>
    </row>
    <row r="1260" spans="2:5" x14ac:dyDescent="0.25">
      <c r="B1260" s="119"/>
      <c r="C1260" s="8"/>
      <c r="D1260" s="23"/>
      <c r="E1260" s="23"/>
    </row>
    <row r="1261" spans="2:5" x14ac:dyDescent="0.25">
      <c r="B1261" s="119"/>
      <c r="C1261" s="8"/>
      <c r="D1261" s="23"/>
      <c r="E1261" s="23"/>
    </row>
    <row r="1262" spans="2:5" x14ac:dyDescent="0.25">
      <c r="B1262" s="119"/>
      <c r="C1262" s="8"/>
      <c r="D1262" s="23"/>
      <c r="E1262" s="23"/>
    </row>
    <row r="1263" spans="2:5" x14ac:dyDescent="0.25">
      <c r="B1263" s="119"/>
      <c r="C1263" s="8"/>
      <c r="D1263" s="23"/>
      <c r="E1263" s="23"/>
    </row>
    <row r="1264" spans="2:5" x14ac:dyDescent="0.25">
      <c r="B1264" s="119"/>
      <c r="C1264" s="8"/>
      <c r="D1264" s="23"/>
      <c r="E1264" s="23"/>
    </row>
    <row r="1265" spans="2:5" x14ac:dyDescent="0.25">
      <c r="B1265" s="119"/>
      <c r="C1265" s="8"/>
      <c r="D1265" s="23"/>
      <c r="E1265" s="23"/>
    </row>
    <row r="1266" spans="2:5" x14ac:dyDescent="0.25">
      <c r="B1266" s="119"/>
      <c r="C1266" s="8"/>
      <c r="D1266" s="23"/>
      <c r="E1266" s="23"/>
    </row>
    <row r="1267" spans="2:5" x14ac:dyDescent="0.25">
      <c r="B1267" s="119"/>
      <c r="C1267" s="8"/>
      <c r="D1267" s="23"/>
      <c r="E1267" s="23"/>
    </row>
    <row r="1268" spans="2:5" x14ac:dyDescent="0.25">
      <c r="B1268" s="119"/>
      <c r="C1268" s="8"/>
      <c r="D1268" s="23"/>
      <c r="E1268" s="23"/>
    </row>
    <row r="1269" spans="2:5" x14ac:dyDescent="0.25">
      <c r="B1269" s="119"/>
      <c r="C1269" s="8"/>
      <c r="D1269" s="23"/>
      <c r="E1269" s="23"/>
    </row>
    <row r="1270" spans="2:5" x14ac:dyDescent="0.25">
      <c r="B1270" s="119"/>
      <c r="C1270" s="8"/>
      <c r="D1270" s="23"/>
      <c r="E1270" s="23"/>
    </row>
    <row r="1271" spans="2:5" x14ac:dyDescent="0.25">
      <c r="B1271" s="119"/>
      <c r="C1271" s="8"/>
      <c r="D1271" s="23"/>
      <c r="E1271" s="23"/>
    </row>
    <row r="1272" spans="2:5" x14ac:dyDescent="0.25">
      <c r="B1272" s="119"/>
      <c r="C1272" s="8"/>
      <c r="D1272" s="23"/>
      <c r="E1272" s="23"/>
    </row>
    <row r="1273" spans="2:5" x14ac:dyDescent="0.25">
      <c r="B1273" s="119"/>
      <c r="C1273" s="8"/>
      <c r="D1273" s="23"/>
      <c r="E1273" s="23"/>
    </row>
    <row r="1274" spans="2:5" x14ac:dyDescent="0.25">
      <c r="B1274" s="119"/>
      <c r="C1274" s="8"/>
      <c r="D1274" s="23"/>
      <c r="E1274" s="23"/>
    </row>
    <row r="1275" spans="2:5" x14ac:dyDescent="0.25">
      <c r="B1275" s="119"/>
      <c r="C1275" s="8"/>
      <c r="D1275" s="23"/>
      <c r="E1275" s="23"/>
    </row>
    <row r="1276" spans="2:5" x14ac:dyDescent="0.25">
      <c r="B1276" s="119"/>
      <c r="C1276" s="8"/>
      <c r="D1276" s="23"/>
      <c r="E1276" s="23"/>
    </row>
    <row r="1277" spans="2:5" x14ac:dyDescent="0.25">
      <c r="B1277" s="119"/>
      <c r="C1277" s="8"/>
      <c r="D1277" s="23"/>
      <c r="E1277" s="23"/>
    </row>
    <row r="1278" spans="2:5" x14ac:dyDescent="0.25">
      <c r="B1278" s="119"/>
      <c r="C1278" s="8"/>
      <c r="D1278" s="23"/>
      <c r="E1278" s="23"/>
    </row>
    <row r="1279" spans="2:5" x14ac:dyDescent="0.25">
      <c r="B1279" s="119"/>
      <c r="C1279" s="8"/>
      <c r="D1279" s="23"/>
      <c r="E1279" s="23"/>
    </row>
    <row r="1280" spans="2:5" x14ac:dyDescent="0.25">
      <c r="B1280" s="119"/>
      <c r="C1280" s="8"/>
      <c r="D1280" s="23"/>
      <c r="E1280" s="23"/>
    </row>
    <row r="1281" spans="2:5" x14ac:dyDescent="0.25">
      <c r="B1281" s="119"/>
      <c r="C1281" s="8"/>
      <c r="D1281" s="23"/>
      <c r="E1281" s="23"/>
    </row>
    <row r="1282" spans="2:5" x14ac:dyDescent="0.25">
      <c r="B1282" s="119"/>
      <c r="C1282" s="8"/>
      <c r="D1282" s="23"/>
      <c r="E1282" s="23"/>
    </row>
    <row r="1283" spans="2:5" x14ac:dyDescent="0.25">
      <c r="B1283" s="119"/>
      <c r="C1283" s="8"/>
      <c r="D1283" s="23"/>
      <c r="E1283" s="23"/>
    </row>
    <row r="1284" spans="2:5" x14ac:dyDescent="0.25">
      <c r="B1284" s="119"/>
      <c r="C1284" s="8"/>
      <c r="D1284" s="23"/>
      <c r="E1284" s="23"/>
    </row>
    <row r="1285" spans="2:5" x14ac:dyDescent="0.25">
      <c r="B1285" s="119"/>
      <c r="C1285" s="8"/>
      <c r="D1285" s="23"/>
      <c r="E1285" s="23"/>
    </row>
    <row r="1286" spans="2:5" x14ac:dyDescent="0.25">
      <c r="B1286" s="119"/>
      <c r="C1286" s="8"/>
      <c r="D1286" s="23"/>
      <c r="E1286" s="23"/>
    </row>
    <row r="1287" spans="2:5" x14ac:dyDescent="0.25">
      <c r="B1287" s="119"/>
      <c r="C1287" s="8"/>
      <c r="D1287" s="23"/>
      <c r="E1287" s="23"/>
    </row>
    <row r="1288" spans="2:5" x14ac:dyDescent="0.25">
      <c r="B1288" s="119"/>
      <c r="C1288" s="8"/>
      <c r="D1288" s="23"/>
      <c r="E1288" s="23"/>
    </row>
    <row r="1289" spans="2:5" x14ac:dyDescent="0.25">
      <c r="B1289" s="119"/>
      <c r="C1289" s="8"/>
      <c r="D1289" s="23"/>
      <c r="E1289" s="23"/>
    </row>
    <row r="1290" spans="2:5" x14ac:dyDescent="0.25">
      <c r="B1290" s="119"/>
      <c r="C1290" s="8"/>
      <c r="D1290" s="23"/>
      <c r="E1290" s="23"/>
    </row>
    <row r="1291" spans="2:5" x14ac:dyDescent="0.25">
      <c r="B1291" s="119"/>
      <c r="C1291" s="8"/>
      <c r="D1291" s="23"/>
      <c r="E1291" s="23"/>
    </row>
    <row r="1292" spans="2:5" x14ac:dyDescent="0.25">
      <c r="B1292" s="119"/>
      <c r="C1292" s="8"/>
      <c r="D1292" s="23"/>
      <c r="E1292" s="23"/>
    </row>
    <row r="1293" spans="2:5" x14ac:dyDescent="0.25">
      <c r="B1293" s="119"/>
      <c r="C1293" s="8"/>
      <c r="D1293" s="23"/>
      <c r="E1293" s="23"/>
    </row>
    <row r="1294" spans="2:5" x14ac:dyDescent="0.25">
      <c r="B1294" s="119"/>
      <c r="C1294" s="8"/>
      <c r="D1294" s="23"/>
      <c r="E1294" s="23"/>
    </row>
    <row r="1295" spans="2:5" x14ac:dyDescent="0.25">
      <c r="B1295" s="119"/>
      <c r="C1295" s="8"/>
      <c r="D1295" s="23"/>
      <c r="E1295" s="23"/>
    </row>
    <row r="1296" spans="2:5" x14ac:dyDescent="0.25">
      <c r="B1296" s="119"/>
      <c r="C1296" s="8"/>
      <c r="D1296" s="23"/>
      <c r="E1296" s="23"/>
    </row>
    <row r="1297" spans="2:5" x14ac:dyDescent="0.25">
      <c r="B1297" s="119"/>
      <c r="C1297" s="8"/>
      <c r="D1297" s="23"/>
      <c r="E1297" s="23"/>
    </row>
    <row r="1298" spans="2:5" x14ac:dyDescent="0.25">
      <c r="B1298" s="119"/>
      <c r="C1298" s="8"/>
      <c r="D1298" s="23"/>
      <c r="E1298" s="23"/>
    </row>
    <row r="1299" spans="2:5" x14ac:dyDescent="0.25">
      <c r="B1299" s="119"/>
      <c r="C1299" s="8"/>
      <c r="D1299" s="23"/>
      <c r="E1299" s="23"/>
    </row>
    <row r="1300" spans="2:5" x14ac:dyDescent="0.25">
      <c r="B1300" s="119"/>
      <c r="C1300" s="8"/>
      <c r="D1300" s="23"/>
      <c r="E1300" s="23"/>
    </row>
    <row r="1301" spans="2:5" x14ac:dyDescent="0.25">
      <c r="B1301" s="119"/>
      <c r="C1301" s="8"/>
      <c r="D1301" s="23"/>
      <c r="E1301" s="23"/>
    </row>
    <row r="1302" spans="2:5" x14ac:dyDescent="0.25">
      <c r="B1302" s="119"/>
      <c r="C1302" s="8"/>
      <c r="D1302" s="23"/>
      <c r="E1302" s="23"/>
    </row>
    <row r="1303" spans="2:5" x14ac:dyDescent="0.25">
      <c r="B1303" s="119"/>
      <c r="C1303" s="8"/>
      <c r="D1303" s="23"/>
      <c r="E1303" s="23"/>
    </row>
    <row r="1304" spans="2:5" x14ac:dyDescent="0.25">
      <c r="B1304" s="119"/>
      <c r="C1304" s="8"/>
      <c r="D1304" s="23"/>
      <c r="E1304" s="23"/>
    </row>
    <row r="1305" spans="2:5" x14ac:dyDescent="0.25">
      <c r="B1305" s="119"/>
      <c r="C1305" s="8"/>
      <c r="D1305" s="23"/>
      <c r="E1305" s="23"/>
    </row>
    <row r="1306" spans="2:5" x14ac:dyDescent="0.25">
      <c r="B1306" s="119"/>
      <c r="C1306" s="8"/>
      <c r="D1306" s="23"/>
      <c r="E1306" s="23"/>
    </row>
    <row r="1307" spans="2:5" x14ac:dyDescent="0.25">
      <c r="B1307" s="119"/>
      <c r="C1307" s="8"/>
      <c r="D1307" s="23"/>
      <c r="E1307" s="23"/>
    </row>
    <row r="1308" spans="2:5" x14ac:dyDescent="0.25">
      <c r="B1308" s="119"/>
      <c r="C1308" s="8"/>
      <c r="D1308" s="23"/>
      <c r="E1308" s="23"/>
    </row>
    <row r="1309" spans="2:5" x14ac:dyDescent="0.25">
      <c r="B1309" s="119"/>
      <c r="C1309" s="8"/>
      <c r="D1309" s="23"/>
      <c r="E1309" s="23"/>
    </row>
    <row r="1310" spans="2:5" x14ac:dyDescent="0.25">
      <c r="B1310" s="119"/>
      <c r="C1310" s="8"/>
      <c r="D1310" s="23"/>
      <c r="E1310" s="23"/>
    </row>
    <row r="1311" spans="2:5" x14ac:dyDescent="0.25">
      <c r="B1311" s="119"/>
      <c r="C1311" s="8"/>
      <c r="D1311" s="23"/>
      <c r="E1311" s="23"/>
    </row>
    <row r="1312" spans="2:5" x14ac:dyDescent="0.25">
      <c r="B1312" s="119"/>
      <c r="C1312" s="8"/>
      <c r="D1312" s="23"/>
      <c r="E1312" s="23"/>
    </row>
    <row r="1313" spans="2:5" x14ac:dyDescent="0.25">
      <c r="B1313" s="119"/>
      <c r="C1313" s="8"/>
      <c r="D1313" s="23"/>
      <c r="E1313" s="23"/>
    </row>
    <row r="1314" spans="2:5" x14ac:dyDescent="0.25">
      <c r="B1314" s="119"/>
      <c r="C1314" s="8"/>
      <c r="D1314" s="23"/>
      <c r="E1314" s="23"/>
    </row>
    <row r="1315" spans="2:5" x14ac:dyDescent="0.25">
      <c r="B1315" s="119"/>
      <c r="C1315" s="8"/>
      <c r="D1315" s="23"/>
      <c r="E1315" s="23"/>
    </row>
    <row r="1316" spans="2:5" x14ac:dyDescent="0.25">
      <c r="B1316" s="119"/>
      <c r="C1316" s="8"/>
      <c r="D1316" s="23"/>
      <c r="E1316" s="23"/>
    </row>
    <row r="1317" spans="2:5" x14ac:dyDescent="0.25">
      <c r="B1317" s="119"/>
      <c r="C1317" s="8"/>
      <c r="D1317" s="23"/>
      <c r="E1317" s="23"/>
    </row>
    <row r="1318" spans="2:5" x14ac:dyDescent="0.25">
      <c r="B1318" s="119"/>
      <c r="C1318" s="8"/>
      <c r="D1318" s="23"/>
      <c r="E1318" s="23"/>
    </row>
    <row r="1319" spans="2:5" x14ac:dyDescent="0.25">
      <c r="B1319" s="119"/>
      <c r="C1319" s="8"/>
      <c r="D1319" s="23"/>
      <c r="E1319" s="23"/>
    </row>
    <row r="1320" spans="2:5" x14ac:dyDescent="0.25">
      <c r="B1320" s="119"/>
      <c r="C1320" s="8"/>
      <c r="D1320" s="23"/>
      <c r="E1320" s="23"/>
    </row>
    <row r="1321" spans="2:5" x14ac:dyDescent="0.25">
      <c r="B1321" s="119"/>
      <c r="C1321" s="8"/>
      <c r="D1321" s="23"/>
      <c r="E1321" s="23"/>
    </row>
    <row r="1322" spans="2:5" x14ac:dyDescent="0.25">
      <c r="B1322" s="119"/>
      <c r="C1322" s="8"/>
      <c r="D1322" s="23"/>
      <c r="E1322" s="23"/>
    </row>
    <row r="1323" spans="2:5" x14ac:dyDescent="0.25">
      <c r="B1323" s="119"/>
      <c r="C1323" s="8"/>
      <c r="D1323" s="23"/>
      <c r="E1323" s="23"/>
    </row>
    <row r="1324" spans="2:5" x14ac:dyDescent="0.25">
      <c r="B1324" s="119"/>
      <c r="C1324" s="8"/>
      <c r="D1324" s="23"/>
      <c r="E1324" s="23"/>
    </row>
    <row r="1325" spans="2:5" x14ac:dyDescent="0.25">
      <c r="B1325" s="119"/>
      <c r="C1325" s="8"/>
      <c r="D1325" s="23"/>
      <c r="E1325" s="23"/>
    </row>
    <row r="1326" spans="2:5" x14ac:dyDescent="0.25">
      <c r="B1326" s="119"/>
      <c r="C1326" s="8"/>
      <c r="D1326" s="23"/>
      <c r="E1326" s="23"/>
    </row>
    <row r="1327" spans="2:5" x14ac:dyDescent="0.25">
      <c r="B1327" s="119"/>
      <c r="C1327" s="8"/>
      <c r="D1327" s="23"/>
      <c r="E1327" s="23"/>
    </row>
    <row r="1328" spans="2:5" x14ac:dyDescent="0.25">
      <c r="B1328" s="119"/>
      <c r="C1328" s="8"/>
      <c r="D1328" s="23"/>
      <c r="E1328" s="23"/>
    </row>
    <row r="1329" spans="2:5" x14ac:dyDescent="0.25">
      <c r="B1329" s="119"/>
      <c r="C1329" s="8"/>
      <c r="D1329" s="23"/>
      <c r="E1329" s="23"/>
    </row>
    <row r="1330" spans="2:5" x14ac:dyDescent="0.25">
      <c r="B1330" s="119"/>
      <c r="C1330" s="8"/>
      <c r="D1330" s="23"/>
      <c r="E1330" s="23"/>
    </row>
    <row r="1331" spans="2:5" x14ac:dyDescent="0.25">
      <c r="B1331" s="119"/>
      <c r="C1331" s="8"/>
      <c r="D1331" s="23"/>
      <c r="E1331" s="23"/>
    </row>
    <row r="1332" spans="2:5" x14ac:dyDescent="0.25">
      <c r="B1332" s="119"/>
      <c r="C1332" s="8"/>
      <c r="D1332" s="23"/>
      <c r="E1332" s="23"/>
    </row>
    <row r="1333" spans="2:5" x14ac:dyDescent="0.25">
      <c r="B1333" s="119"/>
      <c r="C1333" s="8"/>
      <c r="D1333" s="23"/>
      <c r="E1333" s="23"/>
    </row>
    <row r="1334" spans="2:5" x14ac:dyDescent="0.25">
      <c r="B1334" s="119"/>
      <c r="C1334" s="8"/>
      <c r="D1334" s="23"/>
      <c r="E1334" s="23"/>
    </row>
    <row r="1335" spans="2:5" x14ac:dyDescent="0.25">
      <c r="B1335" s="119"/>
      <c r="C1335" s="8"/>
      <c r="D1335" s="23"/>
      <c r="E1335" s="23"/>
    </row>
    <row r="1336" spans="2:5" x14ac:dyDescent="0.25">
      <c r="B1336" s="119"/>
      <c r="C1336" s="8"/>
      <c r="D1336" s="23"/>
      <c r="E1336" s="23"/>
    </row>
    <row r="1337" spans="2:5" x14ac:dyDescent="0.25">
      <c r="B1337" s="119"/>
      <c r="C1337" s="8"/>
      <c r="D1337" s="23"/>
      <c r="E1337" s="23"/>
    </row>
    <row r="1338" spans="2:5" x14ac:dyDescent="0.25">
      <c r="B1338" s="119"/>
      <c r="C1338" s="8"/>
      <c r="D1338" s="23"/>
      <c r="E1338" s="23"/>
    </row>
    <row r="1339" spans="2:5" x14ac:dyDescent="0.25">
      <c r="B1339" s="119"/>
      <c r="C1339" s="8"/>
      <c r="D1339" s="23"/>
      <c r="E1339" s="23"/>
    </row>
    <row r="1340" spans="2:5" x14ac:dyDescent="0.25">
      <c r="B1340" s="119"/>
      <c r="C1340" s="8"/>
      <c r="D1340" s="23"/>
      <c r="E1340" s="23"/>
    </row>
    <row r="1341" spans="2:5" x14ac:dyDescent="0.25">
      <c r="B1341" s="119"/>
      <c r="C1341" s="8"/>
      <c r="D1341" s="23"/>
      <c r="E1341" s="23"/>
    </row>
    <row r="1342" spans="2:5" x14ac:dyDescent="0.25">
      <c r="B1342" s="119"/>
      <c r="C1342" s="8"/>
      <c r="D1342" s="23"/>
      <c r="E1342" s="23"/>
    </row>
    <row r="1343" spans="2:5" x14ac:dyDescent="0.25">
      <c r="B1343" s="119"/>
      <c r="C1343" s="8"/>
      <c r="D1343" s="23"/>
      <c r="E1343" s="23"/>
    </row>
    <row r="1344" spans="2:5" x14ac:dyDescent="0.25">
      <c r="B1344" s="119"/>
      <c r="C1344" s="8"/>
      <c r="D1344" s="23"/>
      <c r="E1344" s="23"/>
    </row>
    <row r="1345" spans="2:5" x14ac:dyDescent="0.25">
      <c r="B1345" s="119"/>
      <c r="C1345" s="8"/>
      <c r="D1345" s="23"/>
      <c r="E1345" s="23"/>
    </row>
    <row r="1346" spans="2:5" x14ac:dyDescent="0.25">
      <c r="B1346" s="119"/>
      <c r="C1346" s="8"/>
      <c r="D1346" s="23"/>
      <c r="E1346" s="23"/>
    </row>
    <row r="1347" spans="2:5" x14ac:dyDescent="0.25">
      <c r="B1347" s="119"/>
      <c r="C1347" s="8"/>
      <c r="D1347" s="23"/>
      <c r="E1347" s="23"/>
    </row>
    <row r="1348" spans="2:5" x14ac:dyDescent="0.25">
      <c r="B1348" s="119"/>
      <c r="C1348" s="8"/>
      <c r="D1348" s="23"/>
      <c r="E1348" s="23"/>
    </row>
    <row r="1349" spans="2:5" x14ac:dyDescent="0.25">
      <c r="B1349" s="119"/>
      <c r="C1349" s="8"/>
      <c r="D1349" s="23"/>
      <c r="E1349" s="23"/>
    </row>
    <row r="1350" spans="2:5" x14ac:dyDescent="0.25">
      <c r="B1350" s="119"/>
      <c r="C1350" s="8"/>
      <c r="D1350" s="23"/>
      <c r="E1350" s="23"/>
    </row>
    <row r="1351" spans="2:5" x14ac:dyDescent="0.25">
      <c r="B1351" s="119"/>
      <c r="C1351" s="8"/>
      <c r="D1351" s="23"/>
      <c r="E1351" s="23"/>
    </row>
    <row r="1352" spans="2:5" x14ac:dyDescent="0.25">
      <c r="B1352" s="119"/>
      <c r="C1352" s="8"/>
      <c r="D1352" s="23"/>
      <c r="E1352" s="23"/>
    </row>
    <row r="1353" spans="2:5" x14ac:dyDescent="0.25">
      <c r="B1353" s="119"/>
      <c r="C1353" s="8"/>
      <c r="D1353" s="23"/>
      <c r="E1353" s="23"/>
    </row>
    <row r="1354" spans="2:5" x14ac:dyDescent="0.25">
      <c r="B1354" s="119"/>
      <c r="C1354" s="8"/>
      <c r="D1354" s="23"/>
      <c r="E1354" s="23"/>
    </row>
    <row r="1355" spans="2:5" x14ac:dyDescent="0.25">
      <c r="B1355" s="119"/>
      <c r="C1355" s="8"/>
      <c r="D1355" s="23"/>
      <c r="E1355" s="23"/>
    </row>
    <row r="1356" spans="2:5" x14ac:dyDescent="0.25">
      <c r="B1356" s="119"/>
      <c r="C1356" s="8"/>
      <c r="D1356" s="23"/>
      <c r="E1356" s="23"/>
    </row>
    <row r="1357" spans="2:5" x14ac:dyDescent="0.25">
      <c r="B1357" s="119"/>
      <c r="C1357" s="8"/>
      <c r="D1357" s="23"/>
      <c r="E1357" s="23"/>
    </row>
    <row r="1358" spans="2:5" x14ac:dyDescent="0.25">
      <c r="B1358" s="119"/>
      <c r="C1358" s="8"/>
      <c r="D1358" s="23"/>
      <c r="E1358" s="23"/>
    </row>
    <row r="1359" spans="2:5" x14ac:dyDescent="0.25">
      <c r="B1359" s="119"/>
      <c r="C1359" s="8"/>
      <c r="D1359" s="23"/>
      <c r="E1359" s="23"/>
    </row>
    <row r="1360" spans="2:5" x14ac:dyDescent="0.25">
      <c r="B1360" s="119"/>
      <c r="C1360" s="8"/>
      <c r="D1360" s="23"/>
      <c r="E1360" s="23"/>
    </row>
    <row r="1361" spans="2:5" x14ac:dyDescent="0.25">
      <c r="B1361" s="119"/>
      <c r="C1361" s="8"/>
      <c r="D1361" s="23"/>
      <c r="E1361" s="23"/>
    </row>
    <row r="1362" spans="2:5" x14ac:dyDescent="0.25">
      <c r="B1362" s="119"/>
      <c r="C1362" s="8"/>
      <c r="D1362" s="23"/>
      <c r="E1362" s="23"/>
    </row>
    <row r="1363" spans="2:5" x14ac:dyDescent="0.25">
      <c r="B1363" s="119"/>
      <c r="C1363" s="8"/>
      <c r="D1363" s="23"/>
      <c r="E1363" s="23"/>
    </row>
    <row r="1364" spans="2:5" x14ac:dyDescent="0.25">
      <c r="B1364" s="119"/>
      <c r="C1364" s="8"/>
      <c r="D1364" s="23"/>
      <c r="E1364" s="23"/>
    </row>
    <row r="1365" spans="2:5" x14ac:dyDescent="0.25">
      <c r="B1365" s="119"/>
      <c r="C1365" s="8"/>
      <c r="D1365" s="23"/>
      <c r="E1365" s="23"/>
    </row>
    <row r="1366" spans="2:5" x14ac:dyDescent="0.25">
      <c r="B1366" s="119"/>
      <c r="C1366" s="8"/>
      <c r="D1366" s="23"/>
      <c r="E1366" s="23"/>
    </row>
    <row r="1367" spans="2:5" x14ac:dyDescent="0.25">
      <c r="B1367" s="119"/>
      <c r="C1367" s="8"/>
      <c r="D1367" s="23"/>
      <c r="E1367" s="23"/>
    </row>
    <row r="1368" spans="2:5" x14ac:dyDescent="0.25">
      <c r="B1368" s="119"/>
      <c r="C1368" s="8"/>
      <c r="D1368" s="23"/>
      <c r="E1368" s="23"/>
    </row>
    <row r="1369" spans="2:5" x14ac:dyDescent="0.25">
      <c r="B1369" s="119"/>
      <c r="C1369" s="8"/>
      <c r="D1369" s="23"/>
      <c r="E1369" s="23"/>
    </row>
    <row r="1370" spans="2:5" x14ac:dyDescent="0.25">
      <c r="B1370" s="119"/>
      <c r="C1370" s="8"/>
      <c r="D1370" s="23"/>
      <c r="E1370" s="23"/>
    </row>
    <row r="1371" spans="2:5" x14ac:dyDescent="0.25">
      <c r="B1371" s="119"/>
      <c r="C1371" s="8"/>
      <c r="D1371" s="23"/>
      <c r="E1371" s="23"/>
    </row>
    <row r="1372" spans="2:5" x14ac:dyDescent="0.25">
      <c r="B1372" s="119"/>
      <c r="C1372" s="8"/>
      <c r="D1372" s="23"/>
      <c r="E1372" s="23"/>
    </row>
    <row r="1373" spans="2:5" x14ac:dyDescent="0.25">
      <c r="B1373" s="119"/>
      <c r="C1373" s="8"/>
      <c r="D1373" s="23"/>
      <c r="E1373" s="23"/>
    </row>
    <row r="1374" spans="2:5" x14ac:dyDescent="0.25">
      <c r="B1374" s="119"/>
      <c r="C1374" s="8"/>
      <c r="D1374" s="23"/>
      <c r="E1374" s="23"/>
    </row>
    <row r="1375" spans="2:5" x14ac:dyDescent="0.25">
      <c r="B1375" s="119"/>
      <c r="C1375" s="8"/>
      <c r="D1375" s="23"/>
      <c r="E1375" s="23"/>
    </row>
    <row r="1376" spans="2:5" x14ac:dyDescent="0.25">
      <c r="B1376" s="119"/>
      <c r="C1376" s="8"/>
      <c r="D1376" s="23"/>
      <c r="E1376" s="23"/>
    </row>
    <row r="1377" spans="2:5" x14ac:dyDescent="0.25">
      <c r="B1377" s="119"/>
      <c r="C1377" s="8"/>
      <c r="D1377" s="23"/>
      <c r="E1377" s="23"/>
    </row>
    <row r="1378" spans="2:5" x14ac:dyDescent="0.25">
      <c r="B1378" s="119"/>
      <c r="C1378" s="8"/>
      <c r="D1378" s="23"/>
      <c r="E1378" s="23"/>
    </row>
    <row r="1379" spans="2:5" x14ac:dyDescent="0.25">
      <c r="B1379" s="119"/>
      <c r="C1379" s="8"/>
      <c r="D1379" s="23"/>
      <c r="E1379" s="23"/>
    </row>
    <row r="1380" spans="2:5" x14ac:dyDescent="0.25">
      <c r="B1380" s="119"/>
      <c r="C1380" s="8"/>
      <c r="D1380" s="23"/>
      <c r="E1380" s="23"/>
    </row>
    <row r="1381" spans="2:5" x14ac:dyDescent="0.25">
      <c r="B1381" s="119"/>
      <c r="C1381" s="8"/>
      <c r="D1381" s="23"/>
      <c r="E1381" s="23"/>
    </row>
    <row r="1382" spans="2:5" x14ac:dyDescent="0.25">
      <c r="B1382" s="119"/>
      <c r="C1382" s="8"/>
      <c r="D1382" s="23"/>
      <c r="E1382" s="23"/>
    </row>
    <row r="1383" spans="2:5" x14ac:dyDescent="0.25">
      <c r="B1383" s="119"/>
      <c r="C1383" s="8"/>
      <c r="D1383" s="23"/>
      <c r="E1383" s="23"/>
    </row>
    <row r="1384" spans="2:5" x14ac:dyDescent="0.25">
      <c r="B1384" s="119"/>
      <c r="C1384" s="8"/>
      <c r="D1384" s="23"/>
      <c r="E1384" s="23"/>
    </row>
    <row r="1385" spans="2:5" x14ac:dyDescent="0.25">
      <c r="B1385" s="119"/>
      <c r="C1385" s="8"/>
      <c r="D1385" s="23"/>
      <c r="E1385" s="23"/>
    </row>
    <row r="1386" spans="2:5" x14ac:dyDescent="0.25">
      <c r="B1386" s="119"/>
      <c r="C1386" s="8"/>
      <c r="D1386" s="23"/>
      <c r="E1386" s="23"/>
    </row>
    <row r="1387" spans="2:5" x14ac:dyDescent="0.25">
      <c r="B1387" s="119"/>
      <c r="C1387" s="8"/>
      <c r="D1387" s="23"/>
      <c r="E1387" s="23"/>
    </row>
    <row r="1388" spans="2:5" x14ac:dyDescent="0.25">
      <c r="B1388" s="119"/>
      <c r="C1388" s="8"/>
      <c r="D1388" s="23"/>
      <c r="E1388" s="23"/>
    </row>
    <row r="1389" spans="2:5" x14ac:dyDescent="0.25">
      <c r="B1389" s="119"/>
      <c r="C1389" s="8"/>
      <c r="D1389" s="23"/>
      <c r="E1389" s="23"/>
    </row>
    <row r="1390" spans="2:5" x14ac:dyDescent="0.25">
      <c r="B1390" s="119"/>
      <c r="C1390" s="8"/>
      <c r="D1390" s="23"/>
      <c r="E1390" s="23"/>
    </row>
    <row r="1391" spans="2:5" x14ac:dyDescent="0.25">
      <c r="B1391" s="119"/>
      <c r="C1391" s="8"/>
      <c r="D1391" s="23"/>
      <c r="E1391" s="23"/>
    </row>
    <row r="1392" spans="2:5" x14ac:dyDescent="0.25">
      <c r="B1392" s="119"/>
      <c r="C1392" s="8"/>
      <c r="D1392" s="23"/>
      <c r="E1392" s="23"/>
    </row>
    <row r="1393" spans="2:5" x14ac:dyDescent="0.25">
      <c r="B1393" s="119"/>
      <c r="C1393" s="8"/>
      <c r="D1393" s="23"/>
      <c r="E1393" s="23"/>
    </row>
    <row r="1394" spans="2:5" x14ac:dyDescent="0.25">
      <c r="B1394" s="119"/>
      <c r="C1394" s="8"/>
      <c r="D1394" s="23"/>
      <c r="E1394" s="23"/>
    </row>
    <row r="1395" spans="2:5" x14ac:dyDescent="0.25">
      <c r="B1395" s="119"/>
      <c r="C1395" s="8"/>
      <c r="D1395" s="23"/>
      <c r="E1395" s="23"/>
    </row>
    <row r="1396" spans="2:5" x14ac:dyDescent="0.25">
      <c r="B1396" s="119"/>
      <c r="C1396" s="8"/>
      <c r="D1396" s="23"/>
      <c r="E1396" s="23"/>
    </row>
    <row r="1397" spans="2:5" x14ac:dyDescent="0.25">
      <c r="B1397" s="119"/>
      <c r="C1397" s="8"/>
      <c r="D1397" s="23"/>
      <c r="E1397" s="23"/>
    </row>
    <row r="1398" spans="2:5" x14ac:dyDescent="0.25">
      <c r="B1398" s="119"/>
      <c r="C1398" s="8"/>
      <c r="D1398" s="23"/>
      <c r="E1398" s="23"/>
    </row>
    <row r="1399" spans="2:5" x14ac:dyDescent="0.25">
      <c r="B1399" s="119"/>
      <c r="C1399" s="8"/>
      <c r="D1399" s="23"/>
      <c r="E1399" s="23"/>
    </row>
    <row r="1400" spans="2:5" x14ac:dyDescent="0.25">
      <c r="B1400" s="119"/>
      <c r="C1400" s="8"/>
      <c r="D1400" s="23"/>
      <c r="E1400" s="23"/>
    </row>
    <row r="1401" spans="2:5" x14ac:dyDescent="0.25">
      <c r="B1401" s="119"/>
      <c r="C1401" s="8"/>
      <c r="D1401" s="23"/>
      <c r="E1401" s="23"/>
    </row>
    <row r="1402" spans="2:5" x14ac:dyDescent="0.25">
      <c r="B1402" s="119"/>
      <c r="C1402" s="8"/>
      <c r="D1402" s="23"/>
      <c r="E1402" s="23"/>
    </row>
    <row r="1403" spans="2:5" x14ac:dyDescent="0.25">
      <c r="B1403" s="119"/>
      <c r="C1403" s="8"/>
      <c r="D1403" s="23"/>
      <c r="E1403" s="23"/>
    </row>
    <row r="1404" spans="2:5" x14ac:dyDescent="0.25">
      <c r="B1404" s="119"/>
      <c r="C1404" s="8"/>
      <c r="D1404" s="23"/>
      <c r="E1404" s="23"/>
    </row>
    <row r="1405" spans="2:5" x14ac:dyDescent="0.25">
      <c r="B1405" s="119"/>
      <c r="C1405" s="8"/>
      <c r="D1405" s="23"/>
      <c r="E1405" s="23"/>
    </row>
    <row r="1406" spans="2:5" x14ac:dyDescent="0.25">
      <c r="B1406" s="119"/>
      <c r="C1406" s="8"/>
      <c r="D1406" s="23"/>
      <c r="E1406" s="23"/>
    </row>
    <row r="1407" spans="2:5" x14ac:dyDescent="0.25">
      <c r="B1407" s="119"/>
      <c r="C1407" s="8"/>
      <c r="D1407" s="23"/>
      <c r="E1407" s="23"/>
    </row>
    <row r="1408" spans="2:5" x14ac:dyDescent="0.25">
      <c r="B1408" s="119"/>
      <c r="C1408" s="8"/>
      <c r="D1408" s="23"/>
      <c r="E1408" s="23"/>
    </row>
    <row r="1409" spans="2:5" x14ac:dyDescent="0.25">
      <c r="B1409" s="119"/>
      <c r="C1409" s="8"/>
      <c r="D1409" s="23"/>
      <c r="E1409" s="23"/>
    </row>
    <row r="1410" spans="2:5" x14ac:dyDescent="0.25">
      <c r="B1410" s="119"/>
      <c r="C1410" s="8"/>
      <c r="D1410" s="23"/>
      <c r="E1410" s="23"/>
    </row>
    <row r="1411" spans="2:5" x14ac:dyDescent="0.25">
      <c r="B1411" s="119"/>
      <c r="C1411" s="8"/>
      <c r="D1411" s="23"/>
      <c r="E1411" s="23"/>
    </row>
    <row r="1412" spans="2:5" x14ac:dyDescent="0.25">
      <c r="B1412" s="119"/>
      <c r="C1412" s="8"/>
      <c r="D1412" s="23"/>
      <c r="E1412" s="23"/>
    </row>
    <row r="1413" spans="2:5" x14ac:dyDescent="0.25">
      <c r="B1413" s="119"/>
      <c r="C1413" s="8"/>
      <c r="D1413" s="23"/>
      <c r="E1413" s="23"/>
    </row>
    <row r="1414" spans="2:5" x14ac:dyDescent="0.25">
      <c r="B1414" s="119"/>
      <c r="C1414" s="8"/>
      <c r="D1414" s="23"/>
      <c r="E1414" s="23"/>
    </row>
    <row r="1415" spans="2:5" x14ac:dyDescent="0.25">
      <c r="B1415" s="119"/>
      <c r="C1415" s="8"/>
      <c r="D1415" s="23"/>
      <c r="E1415" s="23"/>
    </row>
    <row r="1416" spans="2:5" x14ac:dyDescent="0.25">
      <c r="B1416" s="119"/>
      <c r="C1416" s="8"/>
      <c r="D1416" s="23"/>
      <c r="E1416" s="23"/>
    </row>
    <row r="1417" spans="2:5" x14ac:dyDescent="0.25">
      <c r="B1417" s="119"/>
      <c r="C1417" s="8"/>
      <c r="D1417" s="23"/>
      <c r="E1417" s="23"/>
    </row>
    <row r="1418" spans="2:5" x14ac:dyDescent="0.25">
      <c r="B1418" s="119"/>
      <c r="C1418" s="8"/>
      <c r="D1418" s="23"/>
      <c r="E1418" s="23"/>
    </row>
    <row r="1419" spans="2:5" x14ac:dyDescent="0.25">
      <c r="B1419" s="119"/>
      <c r="C1419" s="8"/>
      <c r="D1419" s="23"/>
      <c r="E1419" s="23"/>
    </row>
    <row r="1420" spans="2:5" x14ac:dyDescent="0.25">
      <c r="B1420" s="119"/>
      <c r="C1420" s="8"/>
      <c r="D1420" s="23"/>
      <c r="E1420" s="23"/>
    </row>
    <row r="1421" spans="2:5" x14ac:dyDescent="0.25">
      <c r="B1421" s="119"/>
      <c r="C1421" s="8"/>
      <c r="D1421" s="23"/>
      <c r="E1421" s="23"/>
    </row>
    <row r="1422" spans="2:5" x14ac:dyDescent="0.25">
      <c r="B1422" s="119"/>
      <c r="C1422" s="8"/>
      <c r="D1422" s="23"/>
      <c r="E1422" s="23"/>
    </row>
    <row r="1423" spans="2:5" x14ac:dyDescent="0.25">
      <c r="B1423" s="119"/>
      <c r="C1423" s="8"/>
      <c r="D1423" s="23"/>
      <c r="E1423" s="23"/>
    </row>
    <row r="1424" spans="2:5" x14ac:dyDescent="0.25">
      <c r="B1424" s="119"/>
      <c r="C1424" s="8"/>
      <c r="D1424" s="23"/>
      <c r="E1424" s="23"/>
    </row>
    <row r="1425" spans="2:5" x14ac:dyDescent="0.25">
      <c r="B1425" s="119"/>
      <c r="C1425" s="8"/>
      <c r="D1425" s="23"/>
      <c r="E1425" s="23"/>
    </row>
    <row r="1426" spans="2:5" x14ac:dyDescent="0.25">
      <c r="B1426" s="119"/>
      <c r="C1426" s="8"/>
      <c r="D1426" s="23"/>
      <c r="E1426" s="23"/>
    </row>
    <row r="1427" spans="2:5" x14ac:dyDescent="0.25">
      <c r="B1427" s="119"/>
      <c r="C1427" s="8"/>
      <c r="D1427" s="23"/>
      <c r="E1427" s="23"/>
    </row>
    <row r="1428" spans="2:5" x14ac:dyDescent="0.25">
      <c r="B1428" s="119"/>
      <c r="C1428" s="8"/>
      <c r="D1428" s="23"/>
      <c r="E1428" s="23"/>
    </row>
    <row r="1429" spans="2:5" x14ac:dyDescent="0.25">
      <c r="B1429" s="119"/>
      <c r="C1429" s="8"/>
      <c r="D1429" s="23"/>
      <c r="E1429" s="23"/>
    </row>
    <row r="1430" spans="2:5" x14ac:dyDescent="0.25">
      <c r="B1430" s="119"/>
      <c r="C1430" s="8"/>
      <c r="D1430" s="23"/>
      <c r="E1430" s="23"/>
    </row>
    <row r="1431" spans="2:5" x14ac:dyDescent="0.25">
      <c r="B1431" s="119"/>
      <c r="C1431" s="8"/>
      <c r="D1431" s="23"/>
      <c r="E1431" s="23"/>
    </row>
    <row r="1432" spans="2:5" x14ac:dyDescent="0.25">
      <c r="B1432" s="119"/>
      <c r="C1432" s="8"/>
      <c r="D1432" s="23"/>
      <c r="E1432" s="23"/>
    </row>
    <row r="1433" spans="2:5" x14ac:dyDescent="0.25">
      <c r="B1433" s="119"/>
      <c r="C1433" s="8"/>
      <c r="D1433" s="23"/>
      <c r="E1433" s="23"/>
    </row>
    <row r="1434" spans="2:5" x14ac:dyDescent="0.25">
      <c r="B1434" s="119"/>
      <c r="C1434" s="8"/>
      <c r="D1434" s="23"/>
      <c r="E1434" s="23"/>
    </row>
    <row r="1435" spans="2:5" x14ac:dyDescent="0.25">
      <c r="B1435" s="119"/>
      <c r="C1435" s="8"/>
      <c r="D1435" s="23"/>
      <c r="E1435" s="23"/>
    </row>
    <row r="1436" spans="2:5" x14ac:dyDescent="0.25">
      <c r="B1436" s="119"/>
      <c r="C1436" s="8"/>
      <c r="D1436" s="23"/>
      <c r="E1436" s="23"/>
    </row>
    <row r="1437" spans="2:5" x14ac:dyDescent="0.25">
      <c r="B1437" s="119"/>
      <c r="C1437" s="8"/>
      <c r="D1437" s="23"/>
      <c r="E1437" s="23"/>
    </row>
    <row r="1438" spans="2:5" x14ac:dyDescent="0.25">
      <c r="B1438" s="119"/>
      <c r="C1438" s="8"/>
      <c r="D1438" s="23"/>
      <c r="E1438" s="23"/>
    </row>
    <row r="1439" spans="2:5" x14ac:dyDescent="0.25">
      <c r="B1439" s="119"/>
      <c r="C1439" s="8"/>
      <c r="D1439" s="23"/>
      <c r="E1439" s="23"/>
    </row>
    <row r="1440" spans="2:5" x14ac:dyDescent="0.25">
      <c r="B1440" s="119"/>
      <c r="C1440" s="8"/>
      <c r="D1440" s="23"/>
      <c r="E1440" s="23"/>
    </row>
    <row r="1441" spans="2:5" x14ac:dyDescent="0.25">
      <c r="B1441" s="119"/>
      <c r="C1441" s="8"/>
      <c r="D1441" s="23"/>
      <c r="E1441" s="23"/>
    </row>
    <row r="1442" spans="2:5" x14ac:dyDescent="0.25">
      <c r="B1442" s="119"/>
      <c r="C1442" s="8"/>
      <c r="D1442" s="23"/>
      <c r="E1442" s="23"/>
    </row>
    <row r="1443" spans="2:5" x14ac:dyDescent="0.25">
      <c r="B1443" s="119"/>
      <c r="C1443" s="8"/>
      <c r="D1443" s="23"/>
      <c r="E1443" s="23"/>
    </row>
    <row r="1444" spans="2:5" x14ac:dyDescent="0.25">
      <c r="B1444" s="119"/>
      <c r="C1444" s="8"/>
      <c r="D1444" s="23"/>
      <c r="E1444" s="23"/>
    </row>
    <row r="1445" spans="2:5" x14ac:dyDescent="0.25">
      <c r="B1445" s="119"/>
      <c r="C1445" s="8"/>
      <c r="D1445" s="23"/>
      <c r="E1445" s="23"/>
    </row>
    <row r="1446" spans="2:5" x14ac:dyDescent="0.25">
      <c r="B1446" s="119"/>
      <c r="C1446" s="8"/>
      <c r="D1446" s="23"/>
      <c r="E1446" s="23"/>
    </row>
    <row r="1447" spans="2:5" x14ac:dyDescent="0.25">
      <c r="B1447" s="119"/>
      <c r="C1447" s="8"/>
      <c r="D1447" s="23"/>
      <c r="E1447" s="23"/>
    </row>
    <row r="1448" spans="2:5" x14ac:dyDescent="0.25">
      <c r="B1448" s="119"/>
      <c r="C1448" s="8"/>
      <c r="D1448" s="23"/>
      <c r="E1448" s="23"/>
    </row>
    <row r="1449" spans="2:5" x14ac:dyDescent="0.25">
      <c r="B1449" s="119"/>
      <c r="C1449" s="8"/>
      <c r="D1449" s="23"/>
      <c r="E1449" s="23"/>
    </row>
    <row r="1450" spans="2:5" x14ac:dyDescent="0.25">
      <c r="B1450" s="119"/>
      <c r="C1450" s="8"/>
      <c r="D1450" s="23"/>
      <c r="E1450" s="23"/>
    </row>
    <row r="1451" spans="2:5" x14ac:dyDescent="0.25">
      <c r="B1451" s="119"/>
      <c r="C1451" s="8"/>
      <c r="D1451" s="23"/>
      <c r="E1451" s="23"/>
    </row>
    <row r="1452" spans="2:5" x14ac:dyDescent="0.25">
      <c r="B1452" s="119"/>
      <c r="C1452" s="8"/>
      <c r="D1452" s="23"/>
      <c r="E1452" s="23"/>
    </row>
    <row r="1453" spans="2:5" x14ac:dyDescent="0.25">
      <c r="B1453" s="119"/>
      <c r="C1453" s="8"/>
      <c r="D1453" s="23"/>
      <c r="E1453" s="23"/>
    </row>
    <row r="1454" spans="2:5" x14ac:dyDescent="0.25">
      <c r="B1454" s="119"/>
      <c r="C1454" s="8"/>
      <c r="D1454" s="23"/>
      <c r="E1454" s="23"/>
    </row>
    <row r="1455" spans="2:5" x14ac:dyDescent="0.25">
      <c r="B1455" s="119"/>
      <c r="C1455" s="8"/>
      <c r="D1455" s="23"/>
      <c r="E1455" s="23"/>
    </row>
    <row r="1456" spans="2:5" x14ac:dyDescent="0.25">
      <c r="B1456" s="119"/>
      <c r="C1456" s="8"/>
      <c r="D1456" s="23"/>
      <c r="E1456" s="23"/>
    </row>
    <row r="1457" spans="2:5" x14ac:dyDescent="0.25">
      <c r="B1457" s="119"/>
      <c r="C1457" s="8"/>
      <c r="D1457" s="23"/>
      <c r="E1457" s="23"/>
    </row>
    <row r="1458" spans="2:5" x14ac:dyDescent="0.25">
      <c r="B1458" s="119"/>
      <c r="C1458" s="8"/>
      <c r="D1458" s="23"/>
      <c r="E1458" s="23"/>
    </row>
    <row r="1459" spans="2:5" x14ac:dyDescent="0.25">
      <c r="B1459" s="119"/>
      <c r="C1459" s="8"/>
      <c r="D1459" s="23"/>
      <c r="E1459" s="23"/>
    </row>
    <row r="1460" spans="2:5" x14ac:dyDescent="0.25">
      <c r="B1460" s="119"/>
      <c r="C1460" s="8"/>
      <c r="D1460" s="23"/>
      <c r="E1460" s="23"/>
    </row>
    <row r="1461" spans="2:5" x14ac:dyDescent="0.25">
      <c r="B1461" s="119"/>
      <c r="C1461" s="8"/>
      <c r="D1461" s="23"/>
      <c r="E1461" s="23"/>
    </row>
    <row r="1462" spans="2:5" x14ac:dyDescent="0.25">
      <c r="B1462" s="119"/>
      <c r="C1462" s="8"/>
      <c r="D1462" s="23"/>
      <c r="E1462" s="23"/>
    </row>
    <row r="1463" spans="2:5" x14ac:dyDescent="0.25">
      <c r="B1463" s="119"/>
      <c r="C1463" s="8"/>
      <c r="D1463" s="23"/>
      <c r="E1463" s="23"/>
    </row>
    <row r="1464" spans="2:5" x14ac:dyDescent="0.25">
      <c r="B1464" s="119"/>
      <c r="C1464" s="8"/>
      <c r="D1464" s="23"/>
      <c r="E1464" s="23"/>
    </row>
    <row r="1465" spans="2:5" x14ac:dyDescent="0.25">
      <c r="B1465" s="119"/>
      <c r="C1465" s="8"/>
      <c r="D1465" s="23"/>
      <c r="E1465" s="23"/>
    </row>
    <row r="1466" spans="2:5" x14ac:dyDescent="0.25">
      <c r="B1466" s="119"/>
      <c r="C1466" s="8"/>
      <c r="D1466" s="23"/>
      <c r="E1466" s="23"/>
    </row>
    <row r="1467" spans="2:5" x14ac:dyDescent="0.25">
      <c r="B1467" s="119"/>
      <c r="C1467" s="8"/>
      <c r="D1467" s="23"/>
      <c r="E1467" s="23"/>
    </row>
    <row r="1468" spans="2:5" x14ac:dyDescent="0.25">
      <c r="B1468" s="119"/>
      <c r="C1468" s="8"/>
      <c r="D1468" s="23"/>
      <c r="E1468" s="23"/>
    </row>
    <row r="1469" spans="2:5" x14ac:dyDescent="0.25">
      <c r="B1469" s="119"/>
      <c r="C1469" s="8"/>
      <c r="D1469" s="23"/>
      <c r="E1469" s="23"/>
    </row>
    <row r="1470" spans="2:5" x14ac:dyDescent="0.25">
      <c r="B1470" s="119"/>
      <c r="C1470" s="8"/>
      <c r="D1470" s="23"/>
      <c r="E1470" s="23"/>
    </row>
    <row r="1471" spans="2:5" x14ac:dyDescent="0.25">
      <c r="B1471" s="119"/>
      <c r="C1471" s="8"/>
      <c r="D1471" s="23"/>
      <c r="E1471" s="23"/>
    </row>
    <row r="1472" spans="2:5" x14ac:dyDescent="0.25">
      <c r="B1472" s="119"/>
      <c r="C1472" s="8"/>
      <c r="D1472" s="23"/>
      <c r="E1472" s="23"/>
    </row>
    <row r="1473" spans="2:5" x14ac:dyDescent="0.25">
      <c r="B1473" s="119"/>
      <c r="C1473" s="8"/>
      <c r="D1473" s="23"/>
      <c r="E1473" s="23"/>
    </row>
    <row r="1474" spans="2:5" x14ac:dyDescent="0.25">
      <c r="B1474" s="119"/>
      <c r="C1474" s="8"/>
      <c r="D1474" s="23"/>
      <c r="E1474" s="23"/>
    </row>
    <row r="1475" spans="2:5" x14ac:dyDescent="0.25">
      <c r="B1475" s="119"/>
      <c r="C1475" s="8"/>
      <c r="D1475" s="23"/>
      <c r="E1475" s="23"/>
    </row>
    <row r="1476" spans="2:5" x14ac:dyDescent="0.25">
      <c r="B1476" s="119"/>
      <c r="C1476" s="8"/>
      <c r="D1476" s="23"/>
      <c r="E1476" s="23"/>
    </row>
    <row r="1477" spans="2:5" x14ac:dyDescent="0.25">
      <c r="B1477" s="119"/>
      <c r="C1477" s="8"/>
      <c r="D1477" s="23"/>
      <c r="E1477" s="23"/>
    </row>
    <row r="1478" spans="2:5" x14ac:dyDescent="0.25">
      <c r="B1478" s="119"/>
      <c r="C1478" s="8"/>
      <c r="D1478" s="23"/>
      <c r="E1478" s="23"/>
    </row>
    <row r="1479" spans="2:5" x14ac:dyDescent="0.25">
      <c r="B1479" s="119"/>
      <c r="C1479" s="8"/>
      <c r="D1479" s="23"/>
      <c r="E1479" s="23"/>
    </row>
    <row r="1480" spans="2:5" x14ac:dyDescent="0.25">
      <c r="B1480" s="119"/>
      <c r="C1480" s="8"/>
      <c r="D1480" s="23"/>
      <c r="E1480" s="23"/>
    </row>
    <row r="1481" spans="2:5" x14ac:dyDescent="0.25">
      <c r="B1481" s="119"/>
      <c r="C1481" s="8"/>
      <c r="D1481" s="23"/>
      <c r="E1481" s="23"/>
    </row>
    <row r="1482" spans="2:5" x14ac:dyDescent="0.25">
      <c r="B1482" s="119"/>
      <c r="C1482" s="8"/>
      <c r="D1482" s="23"/>
      <c r="E1482" s="23"/>
    </row>
    <row r="1483" spans="2:5" x14ac:dyDescent="0.25">
      <c r="B1483" s="119"/>
      <c r="C1483" s="8"/>
      <c r="D1483" s="23"/>
      <c r="E1483" s="23"/>
    </row>
    <row r="1484" spans="2:5" x14ac:dyDescent="0.25">
      <c r="B1484" s="119"/>
      <c r="C1484" s="8"/>
      <c r="D1484" s="23"/>
      <c r="E1484" s="23"/>
    </row>
    <row r="1485" spans="2:5" x14ac:dyDescent="0.25">
      <c r="B1485" s="119"/>
      <c r="C1485" s="8"/>
      <c r="D1485" s="23"/>
      <c r="E1485" s="23"/>
    </row>
    <row r="1486" spans="2:5" x14ac:dyDescent="0.25">
      <c r="B1486" s="119"/>
      <c r="C1486" s="8"/>
      <c r="D1486" s="23"/>
      <c r="E1486" s="23"/>
    </row>
    <row r="1487" spans="2:5" x14ac:dyDescent="0.25">
      <c r="B1487" s="119"/>
      <c r="C1487" s="8"/>
      <c r="D1487" s="23"/>
      <c r="E1487" s="23"/>
    </row>
    <row r="1488" spans="2:5" x14ac:dyDescent="0.25">
      <c r="B1488" s="119"/>
      <c r="C1488" s="8"/>
      <c r="D1488" s="23"/>
      <c r="E1488" s="23"/>
    </row>
    <row r="1489" spans="2:5" x14ac:dyDescent="0.25">
      <c r="B1489" s="119"/>
      <c r="C1489" s="8"/>
      <c r="D1489" s="23"/>
      <c r="E1489" s="23"/>
    </row>
    <row r="1490" spans="2:5" x14ac:dyDescent="0.25">
      <c r="B1490" s="119"/>
      <c r="C1490" s="8"/>
      <c r="D1490" s="23"/>
      <c r="E1490" s="23"/>
    </row>
    <row r="1491" spans="2:5" x14ac:dyDescent="0.25">
      <c r="B1491" s="119"/>
      <c r="C1491" s="8"/>
      <c r="D1491" s="23"/>
      <c r="E1491" s="23"/>
    </row>
    <row r="1492" spans="2:5" x14ac:dyDescent="0.25">
      <c r="B1492" s="119"/>
      <c r="C1492" s="8"/>
      <c r="D1492" s="23"/>
      <c r="E1492" s="23"/>
    </row>
    <row r="1493" spans="2:5" x14ac:dyDescent="0.25">
      <c r="B1493" s="119"/>
      <c r="C1493" s="8"/>
      <c r="D1493" s="23"/>
      <c r="E1493" s="23"/>
    </row>
    <row r="1494" spans="2:5" x14ac:dyDescent="0.25">
      <c r="B1494" s="119"/>
      <c r="C1494" s="8"/>
      <c r="D1494" s="23"/>
      <c r="E1494" s="23"/>
    </row>
    <row r="1495" spans="2:5" x14ac:dyDescent="0.25">
      <c r="B1495" s="119"/>
      <c r="C1495" s="8"/>
      <c r="D1495" s="23"/>
      <c r="E1495" s="23"/>
    </row>
    <row r="1496" spans="2:5" x14ac:dyDescent="0.25">
      <c r="B1496" s="119"/>
      <c r="C1496" s="8"/>
      <c r="D1496" s="23"/>
      <c r="E1496" s="23"/>
    </row>
    <row r="1497" spans="2:5" x14ac:dyDescent="0.25">
      <c r="B1497" s="119"/>
      <c r="C1497" s="8"/>
      <c r="D1497" s="23"/>
      <c r="E1497" s="23"/>
    </row>
    <row r="1498" spans="2:5" x14ac:dyDescent="0.25">
      <c r="B1498" s="119"/>
      <c r="C1498" s="8"/>
      <c r="D1498" s="23"/>
      <c r="E1498" s="23"/>
    </row>
    <row r="1499" spans="2:5" x14ac:dyDescent="0.25">
      <c r="B1499" s="119"/>
      <c r="C1499" s="8"/>
      <c r="D1499" s="23"/>
      <c r="E1499" s="23"/>
    </row>
    <row r="1500" spans="2:5" x14ac:dyDescent="0.25">
      <c r="B1500" s="119"/>
      <c r="C1500" s="8"/>
      <c r="D1500" s="23"/>
      <c r="E1500" s="23"/>
    </row>
    <row r="1501" spans="2:5" x14ac:dyDescent="0.25">
      <c r="B1501" s="119"/>
      <c r="C1501" s="8"/>
      <c r="D1501" s="23"/>
      <c r="E1501" s="23"/>
    </row>
    <row r="1502" spans="2:5" x14ac:dyDescent="0.25">
      <c r="B1502" s="119"/>
      <c r="C1502" s="8"/>
      <c r="D1502" s="23"/>
      <c r="E1502" s="23"/>
    </row>
    <row r="1503" spans="2:5" x14ac:dyDescent="0.25">
      <c r="B1503" s="119"/>
      <c r="C1503" s="8"/>
      <c r="D1503" s="23"/>
      <c r="E1503" s="23"/>
    </row>
    <row r="1504" spans="2:5" x14ac:dyDescent="0.25">
      <c r="B1504" s="119"/>
      <c r="C1504" s="8"/>
      <c r="D1504" s="23"/>
      <c r="E1504" s="23"/>
    </row>
    <row r="1505" spans="2:5" x14ac:dyDescent="0.25">
      <c r="B1505" s="119"/>
      <c r="C1505" s="8"/>
      <c r="D1505" s="23"/>
      <c r="E1505" s="23"/>
    </row>
    <row r="1506" spans="2:5" x14ac:dyDescent="0.25">
      <c r="B1506" s="119"/>
      <c r="C1506" s="8"/>
      <c r="D1506" s="23"/>
      <c r="E1506" s="23"/>
    </row>
    <row r="1507" spans="2:5" x14ac:dyDescent="0.25">
      <c r="B1507" s="119"/>
      <c r="C1507" s="8"/>
      <c r="D1507" s="23"/>
      <c r="E1507" s="23"/>
    </row>
    <row r="1508" spans="2:5" x14ac:dyDescent="0.25">
      <c r="B1508" s="119"/>
      <c r="C1508" s="8"/>
      <c r="D1508" s="23"/>
      <c r="E1508" s="23"/>
    </row>
    <row r="1509" spans="2:5" x14ac:dyDescent="0.25">
      <c r="B1509" s="119"/>
      <c r="C1509" s="8"/>
      <c r="D1509" s="23"/>
      <c r="E1509" s="23"/>
    </row>
    <row r="1510" spans="2:5" x14ac:dyDescent="0.25">
      <c r="B1510" s="119"/>
      <c r="C1510" s="8"/>
      <c r="D1510" s="23"/>
      <c r="E1510" s="23"/>
    </row>
    <row r="1511" spans="2:5" x14ac:dyDescent="0.25">
      <c r="B1511" s="119"/>
      <c r="C1511" s="8"/>
      <c r="D1511" s="23"/>
      <c r="E1511" s="23"/>
    </row>
    <row r="1512" spans="2:5" x14ac:dyDescent="0.25">
      <c r="B1512" s="119"/>
      <c r="C1512" s="8"/>
      <c r="D1512" s="23"/>
      <c r="E1512" s="23"/>
    </row>
    <row r="1513" spans="2:5" x14ac:dyDescent="0.25">
      <c r="B1513" s="119"/>
      <c r="C1513" s="8"/>
      <c r="D1513" s="23"/>
      <c r="E1513" s="23"/>
    </row>
    <row r="1514" spans="2:5" x14ac:dyDescent="0.25">
      <c r="B1514" s="119"/>
      <c r="C1514" s="8"/>
      <c r="D1514" s="23"/>
      <c r="E1514" s="23"/>
    </row>
    <row r="1515" spans="2:5" x14ac:dyDescent="0.25">
      <c r="B1515" s="119"/>
      <c r="C1515" s="8"/>
      <c r="D1515" s="23"/>
      <c r="E1515" s="23"/>
    </row>
    <row r="1516" spans="2:5" x14ac:dyDescent="0.25">
      <c r="B1516" s="119"/>
      <c r="C1516" s="8"/>
      <c r="D1516" s="23"/>
      <c r="E1516" s="23"/>
    </row>
    <row r="1517" spans="2:5" x14ac:dyDescent="0.25">
      <c r="B1517" s="119"/>
      <c r="C1517" s="8"/>
      <c r="D1517" s="23"/>
      <c r="E1517" s="23"/>
    </row>
    <row r="1518" spans="2:5" x14ac:dyDescent="0.25">
      <c r="B1518" s="119"/>
      <c r="C1518" s="8"/>
      <c r="D1518" s="23"/>
      <c r="E1518" s="23"/>
    </row>
    <row r="1519" spans="2:5" x14ac:dyDescent="0.25">
      <c r="B1519" s="119"/>
      <c r="C1519" s="8"/>
      <c r="D1519" s="23"/>
      <c r="E1519" s="23"/>
    </row>
    <row r="1520" spans="2:5" x14ac:dyDescent="0.25">
      <c r="B1520" s="119"/>
      <c r="C1520" s="8"/>
      <c r="D1520" s="23"/>
      <c r="E1520" s="23"/>
    </row>
    <row r="1521" spans="2:5" x14ac:dyDescent="0.25">
      <c r="B1521" s="119"/>
      <c r="C1521" s="8"/>
      <c r="D1521" s="23"/>
      <c r="E1521" s="23"/>
    </row>
    <row r="1522" spans="2:5" x14ac:dyDescent="0.25">
      <c r="B1522" s="119"/>
      <c r="C1522" s="8"/>
      <c r="D1522" s="23"/>
      <c r="E1522" s="23"/>
    </row>
    <row r="1523" spans="2:5" x14ac:dyDescent="0.25">
      <c r="B1523" s="119"/>
      <c r="C1523" s="8"/>
      <c r="D1523" s="23"/>
      <c r="E1523" s="23"/>
    </row>
    <row r="1524" spans="2:5" x14ac:dyDescent="0.25">
      <c r="B1524" s="119"/>
      <c r="C1524" s="8"/>
      <c r="D1524" s="23"/>
      <c r="E1524" s="23"/>
    </row>
    <row r="1525" spans="2:5" x14ac:dyDescent="0.25">
      <c r="B1525" s="119"/>
      <c r="C1525" s="8"/>
      <c r="D1525" s="23"/>
      <c r="E1525" s="23"/>
    </row>
    <row r="1526" spans="2:5" x14ac:dyDescent="0.25">
      <c r="B1526" s="119"/>
      <c r="C1526" s="8"/>
      <c r="D1526" s="23"/>
      <c r="E1526" s="23"/>
    </row>
    <row r="1527" spans="2:5" x14ac:dyDescent="0.25">
      <c r="B1527" s="119"/>
      <c r="C1527" s="8"/>
      <c r="D1527" s="23"/>
      <c r="E1527" s="23"/>
    </row>
    <row r="1528" spans="2:5" x14ac:dyDescent="0.25">
      <c r="B1528" s="119"/>
      <c r="C1528" s="8"/>
      <c r="D1528" s="23"/>
      <c r="E1528" s="23"/>
    </row>
    <row r="1529" spans="2:5" x14ac:dyDescent="0.25">
      <c r="B1529" s="119"/>
      <c r="C1529" s="8"/>
      <c r="D1529" s="23"/>
      <c r="E1529" s="23"/>
    </row>
    <row r="1530" spans="2:5" x14ac:dyDescent="0.25">
      <c r="B1530" s="119"/>
      <c r="C1530" s="8"/>
      <c r="D1530" s="23"/>
      <c r="E1530" s="23"/>
    </row>
    <row r="1531" spans="2:5" x14ac:dyDescent="0.25">
      <c r="B1531" s="119"/>
      <c r="C1531" s="8"/>
      <c r="D1531" s="23"/>
      <c r="E1531" s="23"/>
    </row>
    <row r="1532" spans="2:5" x14ac:dyDescent="0.25">
      <c r="B1532" s="119"/>
      <c r="C1532" s="8"/>
      <c r="D1532" s="23"/>
      <c r="E1532" s="23"/>
    </row>
    <row r="1533" spans="2:5" x14ac:dyDescent="0.25">
      <c r="B1533" s="119"/>
      <c r="C1533" s="8"/>
      <c r="D1533" s="23"/>
      <c r="E1533" s="23"/>
    </row>
    <row r="1534" spans="2:5" x14ac:dyDescent="0.25">
      <c r="B1534" s="119"/>
      <c r="C1534" s="8"/>
      <c r="D1534" s="23"/>
      <c r="E1534" s="23"/>
    </row>
    <row r="1535" spans="2:5" x14ac:dyDescent="0.25">
      <c r="B1535" s="119"/>
      <c r="C1535" s="8"/>
      <c r="D1535" s="23"/>
      <c r="E1535" s="23"/>
    </row>
    <row r="1536" spans="2:5" x14ac:dyDescent="0.25">
      <c r="B1536" s="119"/>
      <c r="C1536" s="8"/>
      <c r="D1536" s="23"/>
      <c r="E1536" s="23"/>
    </row>
    <row r="1537" spans="2:5" x14ac:dyDescent="0.25">
      <c r="B1537" s="119"/>
      <c r="C1537" s="8"/>
      <c r="D1537" s="23"/>
      <c r="E1537" s="23"/>
    </row>
    <row r="1538" spans="2:5" x14ac:dyDescent="0.25">
      <c r="B1538" s="119"/>
      <c r="C1538" s="8"/>
      <c r="D1538" s="23"/>
      <c r="E1538" s="23"/>
    </row>
    <row r="1539" spans="2:5" x14ac:dyDescent="0.25">
      <c r="B1539" s="119"/>
      <c r="C1539" s="8"/>
      <c r="D1539" s="23"/>
      <c r="E1539" s="23"/>
    </row>
    <row r="1540" spans="2:5" x14ac:dyDescent="0.25">
      <c r="B1540" s="119"/>
      <c r="C1540" s="8"/>
      <c r="D1540" s="23"/>
      <c r="E1540" s="23"/>
    </row>
    <row r="1541" spans="2:5" x14ac:dyDescent="0.25">
      <c r="B1541" s="119"/>
      <c r="C1541" s="8"/>
      <c r="D1541" s="23"/>
      <c r="E1541" s="23"/>
    </row>
    <row r="1542" spans="2:5" x14ac:dyDescent="0.25">
      <c r="B1542" s="119"/>
      <c r="C1542" s="8"/>
      <c r="D1542" s="23"/>
      <c r="E1542" s="23"/>
    </row>
    <row r="1543" spans="2:5" x14ac:dyDescent="0.25">
      <c r="B1543" s="119"/>
      <c r="C1543" s="8"/>
      <c r="D1543" s="23"/>
      <c r="E1543" s="23"/>
    </row>
    <row r="1544" spans="2:5" x14ac:dyDescent="0.25">
      <c r="B1544" s="119"/>
      <c r="C1544" s="8"/>
      <c r="D1544" s="23"/>
      <c r="E1544" s="23"/>
    </row>
    <row r="1545" spans="2:5" x14ac:dyDescent="0.25">
      <c r="B1545" s="119"/>
      <c r="C1545" s="8"/>
      <c r="D1545" s="23"/>
      <c r="E1545" s="23"/>
    </row>
    <row r="1546" spans="2:5" x14ac:dyDescent="0.25">
      <c r="B1546" s="119"/>
      <c r="C1546" s="8"/>
      <c r="D1546" s="23"/>
      <c r="E1546" s="23"/>
    </row>
    <row r="1547" spans="2:5" x14ac:dyDescent="0.25">
      <c r="B1547" s="119"/>
      <c r="C1547" s="8"/>
      <c r="D1547" s="23"/>
      <c r="E1547" s="23"/>
    </row>
    <row r="1548" spans="2:5" x14ac:dyDescent="0.25">
      <c r="B1548" s="119"/>
      <c r="C1548" s="8"/>
      <c r="D1548" s="23"/>
      <c r="E1548" s="23"/>
    </row>
    <row r="1549" spans="2:5" x14ac:dyDescent="0.25">
      <c r="B1549" s="119"/>
      <c r="C1549" s="8"/>
      <c r="D1549" s="23"/>
      <c r="E1549" s="23"/>
    </row>
    <row r="1550" spans="2:5" x14ac:dyDescent="0.25">
      <c r="B1550" s="119"/>
      <c r="C1550" s="8"/>
      <c r="D1550" s="23"/>
      <c r="E1550" s="23"/>
    </row>
    <row r="1551" spans="2:5" x14ac:dyDescent="0.25">
      <c r="B1551" s="119"/>
      <c r="C1551" s="8"/>
      <c r="D1551" s="23"/>
      <c r="E1551" s="23"/>
    </row>
    <row r="1552" spans="2:5" x14ac:dyDescent="0.25">
      <c r="B1552" s="119"/>
      <c r="C1552" s="8"/>
      <c r="D1552" s="23"/>
      <c r="E1552" s="23"/>
    </row>
    <row r="1553" spans="2:5" x14ac:dyDescent="0.25">
      <c r="B1553" s="119"/>
      <c r="C1553" s="8"/>
      <c r="D1553" s="23"/>
      <c r="E1553" s="23"/>
    </row>
    <row r="1554" spans="2:5" x14ac:dyDescent="0.25">
      <c r="B1554" s="119"/>
      <c r="C1554" s="8"/>
      <c r="D1554" s="23"/>
      <c r="E1554" s="23"/>
    </row>
    <row r="1555" spans="2:5" x14ac:dyDescent="0.25">
      <c r="B1555" s="119"/>
      <c r="C1555" s="8"/>
      <c r="D1555" s="23"/>
      <c r="E1555" s="23"/>
    </row>
    <row r="1556" spans="2:5" x14ac:dyDescent="0.25">
      <c r="B1556" s="119"/>
      <c r="C1556" s="8"/>
      <c r="D1556" s="23"/>
      <c r="E1556" s="23"/>
    </row>
    <row r="1557" spans="2:5" x14ac:dyDescent="0.25">
      <c r="B1557" s="119"/>
      <c r="C1557" s="8"/>
      <c r="D1557" s="23"/>
      <c r="E1557" s="23"/>
    </row>
    <row r="1558" spans="2:5" x14ac:dyDescent="0.25">
      <c r="B1558" s="119"/>
      <c r="C1558" s="8"/>
      <c r="D1558" s="23"/>
      <c r="E1558" s="23"/>
    </row>
    <row r="1559" spans="2:5" x14ac:dyDescent="0.25">
      <c r="B1559" s="119"/>
      <c r="C1559" s="8"/>
      <c r="D1559" s="23"/>
      <c r="E1559" s="23"/>
    </row>
    <row r="1560" spans="2:5" x14ac:dyDescent="0.25">
      <c r="B1560" s="119"/>
      <c r="C1560" s="8"/>
      <c r="D1560" s="23"/>
      <c r="E1560" s="23"/>
    </row>
    <row r="1561" spans="2:5" x14ac:dyDescent="0.25">
      <c r="B1561" s="119"/>
      <c r="C1561" s="8"/>
      <c r="D1561" s="23"/>
      <c r="E1561" s="23"/>
    </row>
    <row r="1562" spans="2:5" x14ac:dyDescent="0.25">
      <c r="B1562" s="119"/>
      <c r="C1562" s="8"/>
      <c r="D1562" s="23"/>
      <c r="E1562" s="23"/>
    </row>
    <row r="1563" spans="2:5" x14ac:dyDescent="0.25">
      <c r="B1563" s="119"/>
      <c r="C1563" s="8"/>
      <c r="D1563" s="23"/>
      <c r="E1563" s="23"/>
    </row>
    <row r="1564" spans="2:5" x14ac:dyDescent="0.25">
      <c r="B1564" s="119"/>
      <c r="C1564" s="8"/>
      <c r="D1564" s="23"/>
      <c r="E1564" s="23"/>
    </row>
    <row r="1565" spans="2:5" x14ac:dyDescent="0.25">
      <c r="B1565" s="119"/>
      <c r="C1565" s="8"/>
      <c r="D1565" s="23"/>
      <c r="E1565" s="23"/>
    </row>
    <row r="1566" spans="2:5" x14ac:dyDescent="0.25">
      <c r="B1566" s="119"/>
      <c r="C1566" s="8"/>
      <c r="D1566" s="23"/>
      <c r="E1566" s="23"/>
    </row>
    <row r="1567" spans="2:5" x14ac:dyDescent="0.25">
      <c r="B1567" s="119"/>
      <c r="C1567" s="8"/>
      <c r="D1567" s="23"/>
      <c r="E1567" s="23"/>
    </row>
    <row r="1568" spans="2:5" x14ac:dyDescent="0.25">
      <c r="B1568" s="119"/>
      <c r="C1568" s="8"/>
      <c r="D1568" s="23"/>
      <c r="E1568" s="23"/>
    </row>
    <row r="1569" spans="2:5" x14ac:dyDescent="0.25">
      <c r="B1569" s="119"/>
      <c r="C1569" s="8"/>
      <c r="D1569" s="23"/>
      <c r="E1569" s="23"/>
    </row>
    <row r="1570" spans="2:5" x14ac:dyDescent="0.25">
      <c r="B1570" s="119"/>
      <c r="C1570" s="8"/>
      <c r="D1570" s="23"/>
      <c r="E1570" s="23"/>
    </row>
    <row r="1571" spans="2:5" x14ac:dyDescent="0.25">
      <c r="B1571" s="119"/>
      <c r="C1571" s="8"/>
      <c r="D1571" s="23"/>
      <c r="E1571" s="23"/>
    </row>
    <row r="1572" spans="2:5" x14ac:dyDescent="0.25">
      <c r="B1572" s="119"/>
      <c r="C1572" s="8"/>
      <c r="D1572" s="23"/>
      <c r="E1572" s="23"/>
    </row>
    <row r="1573" spans="2:5" x14ac:dyDescent="0.25">
      <c r="B1573" s="119"/>
      <c r="C1573" s="8"/>
      <c r="D1573" s="23"/>
      <c r="E1573" s="23"/>
    </row>
    <row r="1574" spans="2:5" x14ac:dyDescent="0.25">
      <c r="B1574" s="119"/>
      <c r="C1574" s="8"/>
      <c r="D1574" s="23"/>
      <c r="E1574" s="23"/>
    </row>
    <row r="1575" spans="2:5" x14ac:dyDescent="0.25">
      <c r="B1575" s="119"/>
      <c r="C1575" s="8"/>
      <c r="D1575" s="23"/>
      <c r="E1575" s="23"/>
    </row>
    <row r="1576" spans="2:5" x14ac:dyDescent="0.25">
      <c r="B1576" s="119"/>
      <c r="C1576" s="8"/>
      <c r="D1576" s="23"/>
      <c r="E1576" s="23"/>
    </row>
    <row r="1577" spans="2:5" x14ac:dyDescent="0.25">
      <c r="B1577" s="119"/>
      <c r="C1577" s="8"/>
      <c r="D1577" s="23"/>
      <c r="E1577" s="23"/>
    </row>
    <row r="1578" spans="2:5" x14ac:dyDescent="0.25">
      <c r="B1578" s="119"/>
      <c r="C1578" s="8"/>
      <c r="D1578" s="23"/>
      <c r="E1578" s="23"/>
    </row>
    <row r="1579" spans="2:5" x14ac:dyDescent="0.25">
      <c r="B1579" s="119"/>
      <c r="C1579" s="8"/>
      <c r="D1579" s="23"/>
      <c r="E1579" s="23"/>
    </row>
    <row r="1580" spans="2:5" x14ac:dyDescent="0.25">
      <c r="B1580" s="119"/>
      <c r="C1580" s="8"/>
      <c r="D1580" s="23"/>
      <c r="E1580" s="23"/>
    </row>
    <row r="1581" spans="2:5" x14ac:dyDescent="0.25">
      <c r="B1581" s="119"/>
      <c r="C1581" s="8"/>
      <c r="D1581" s="23"/>
      <c r="E1581" s="23"/>
    </row>
    <row r="1582" spans="2:5" x14ac:dyDescent="0.25">
      <c r="B1582" s="119"/>
      <c r="C1582" s="8"/>
      <c r="D1582" s="23"/>
      <c r="E1582" s="23"/>
    </row>
    <row r="1583" spans="2:5" x14ac:dyDescent="0.25">
      <c r="B1583" s="119"/>
      <c r="C1583" s="8"/>
      <c r="D1583" s="23"/>
      <c r="E1583" s="23"/>
    </row>
    <row r="1584" spans="2:5" x14ac:dyDescent="0.25">
      <c r="B1584" s="119"/>
      <c r="C1584" s="8"/>
      <c r="D1584" s="23"/>
      <c r="E1584" s="23"/>
    </row>
    <row r="1585" spans="2:5" x14ac:dyDescent="0.25">
      <c r="B1585" s="119"/>
      <c r="C1585" s="8"/>
      <c r="D1585" s="23"/>
      <c r="E1585" s="23"/>
    </row>
    <row r="1586" spans="2:5" x14ac:dyDescent="0.25">
      <c r="B1586" s="119"/>
      <c r="C1586" s="8"/>
      <c r="D1586" s="23"/>
      <c r="E1586" s="23"/>
    </row>
    <row r="1587" spans="2:5" x14ac:dyDescent="0.25">
      <c r="B1587" s="119"/>
      <c r="C1587" s="8"/>
      <c r="D1587" s="23"/>
      <c r="E1587" s="23"/>
    </row>
    <row r="1588" spans="2:5" x14ac:dyDescent="0.25">
      <c r="B1588" s="119"/>
      <c r="C1588" s="8"/>
      <c r="D1588" s="23"/>
      <c r="E1588" s="23"/>
    </row>
    <row r="1589" spans="2:5" x14ac:dyDescent="0.25">
      <c r="B1589" s="119"/>
      <c r="C1589" s="8"/>
      <c r="D1589" s="23"/>
      <c r="E1589" s="23"/>
    </row>
    <row r="1590" spans="2:5" x14ac:dyDescent="0.25">
      <c r="B1590" s="119"/>
      <c r="C1590" s="8"/>
      <c r="D1590" s="23"/>
      <c r="E1590" s="23"/>
    </row>
    <row r="1591" spans="2:5" x14ac:dyDescent="0.25">
      <c r="B1591" s="119"/>
      <c r="C1591" s="8"/>
      <c r="D1591" s="23"/>
      <c r="E1591" s="23"/>
    </row>
    <row r="1592" spans="2:5" x14ac:dyDescent="0.25">
      <c r="B1592" s="119"/>
      <c r="C1592" s="8"/>
      <c r="D1592" s="23"/>
      <c r="E1592" s="23"/>
    </row>
    <row r="1593" spans="2:5" x14ac:dyDescent="0.25">
      <c r="B1593" s="119"/>
      <c r="C1593" s="8"/>
      <c r="D1593" s="23"/>
      <c r="E1593" s="23"/>
    </row>
    <row r="1594" spans="2:5" x14ac:dyDescent="0.25">
      <c r="B1594" s="119"/>
      <c r="C1594" s="8"/>
      <c r="D1594" s="23"/>
      <c r="E1594" s="23"/>
    </row>
    <row r="1595" spans="2:5" x14ac:dyDescent="0.25">
      <c r="B1595" s="119"/>
      <c r="C1595" s="8"/>
      <c r="D1595" s="23"/>
      <c r="E1595" s="23"/>
    </row>
    <row r="1596" spans="2:5" x14ac:dyDescent="0.25">
      <c r="B1596" s="119"/>
      <c r="C1596" s="8"/>
      <c r="D1596" s="23"/>
      <c r="E1596" s="23"/>
    </row>
    <row r="1597" spans="2:5" x14ac:dyDescent="0.25">
      <c r="B1597" s="119"/>
      <c r="C1597" s="8"/>
      <c r="D1597" s="23"/>
      <c r="E1597" s="23"/>
    </row>
    <row r="1598" spans="2:5" x14ac:dyDescent="0.25">
      <c r="B1598" s="119"/>
      <c r="C1598" s="8"/>
      <c r="D1598" s="23"/>
      <c r="E1598" s="23"/>
    </row>
    <row r="1599" spans="2:5" x14ac:dyDescent="0.25">
      <c r="B1599" s="119"/>
      <c r="C1599" s="8"/>
      <c r="D1599" s="23"/>
      <c r="E1599" s="23"/>
    </row>
    <row r="1600" spans="2:5" x14ac:dyDescent="0.25">
      <c r="B1600" s="119"/>
      <c r="C1600" s="8"/>
      <c r="D1600" s="23"/>
      <c r="E1600" s="23"/>
    </row>
    <row r="1601" spans="2:5" x14ac:dyDescent="0.25">
      <c r="B1601" s="119"/>
      <c r="C1601" s="8"/>
      <c r="D1601" s="23"/>
      <c r="E1601" s="23"/>
    </row>
    <row r="1602" spans="2:5" x14ac:dyDescent="0.25">
      <c r="B1602" s="119"/>
      <c r="C1602" s="8"/>
      <c r="D1602" s="23"/>
      <c r="E1602" s="23"/>
    </row>
    <row r="1603" spans="2:5" x14ac:dyDescent="0.25">
      <c r="B1603" s="119"/>
      <c r="C1603" s="8"/>
      <c r="D1603" s="23"/>
      <c r="E1603" s="23"/>
    </row>
    <row r="1604" spans="2:5" x14ac:dyDescent="0.25">
      <c r="B1604" s="119"/>
      <c r="C1604" s="8"/>
      <c r="D1604" s="23"/>
      <c r="E1604" s="23"/>
    </row>
    <row r="1605" spans="2:5" x14ac:dyDescent="0.25">
      <c r="B1605" s="119"/>
      <c r="C1605" s="8"/>
      <c r="D1605" s="23"/>
      <c r="E1605" s="23"/>
    </row>
    <row r="1606" spans="2:5" x14ac:dyDescent="0.25">
      <c r="B1606" s="119"/>
      <c r="C1606" s="8"/>
      <c r="D1606" s="23"/>
      <c r="E1606" s="23"/>
    </row>
    <row r="1607" spans="2:5" x14ac:dyDescent="0.25">
      <c r="B1607" s="119"/>
      <c r="C1607" s="8"/>
      <c r="D1607" s="23"/>
      <c r="E1607" s="23"/>
    </row>
    <row r="1608" spans="2:5" x14ac:dyDescent="0.25">
      <c r="B1608" s="119"/>
      <c r="C1608" s="8"/>
      <c r="D1608" s="23"/>
      <c r="E1608" s="23"/>
    </row>
    <row r="1609" spans="2:5" x14ac:dyDescent="0.25">
      <c r="B1609" s="119"/>
      <c r="C1609" s="8"/>
      <c r="D1609" s="23"/>
      <c r="E1609" s="23"/>
    </row>
    <row r="1610" spans="2:5" x14ac:dyDescent="0.25">
      <c r="B1610" s="119"/>
      <c r="C1610" s="8"/>
      <c r="D1610" s="23"/>
      <c r="E1610" s="23"/>
    </row>
    <row r="1611" spans="2:5" x14ac:dyDescent="0.25">
      <c r="B1611" s="119"/>
      <c r="C1611" s="8"/>
      <c r="D1611" s="23"/>
      <c r="E1611" s="23"/>
    </row>
    <row r="1612" spans="2:5" x14ac:dyDescent="0.25">
      <c r="B1612" s="119"/>
      <c r="C1612" s="8"/>
      <c r="D1612" s="23"/>
      <c r="E1612" s="23"/>
    </row>
    <row r="1613" spans="2:5" x14ac:dyDescent="0.25">
      <c r="B1613" s="119"/>
      <c r="C1613" s="8"/>
      <c r="D1613" s="23"/>
      <c r="E1613" s="23"/>
    </row>
    <row r="1614" spans="2:5" x14ac:dyDescent="0.25">
      <c r="B1614" s="119"/>
      <c r="C1614" s="8"/>
      <c r="D1614" s="23"/>
      <c r="E1614" s="23"/>
    </row>
    <row r="1615" spans="2:5" x14ac:dyDescent="0.25">
      <c r="B1615" s="119"/>
      <c r="C1615" s="8"/>
      <c r="D1615" s="23"/>
      <c r="E1615" s="23"/>
    </row>
    <row r="1616" spans="2:5" x14ac:dyDescent="0.25">
      <c r="B1616" s="119"/>
      <c r="C1616" s="8"/>
      <c r="D1616" s="23"/>
      <c r="E1616" s="23"/>
    </row>
    <row r="1617" spans="2:5" x14ac:dyDescent="0.25">
      <c r="B1617" s="119"/>
      <c r="C1617" s="8"/>
      <c r="D1617" s="23"/>
      <c r="E1617" s="23"/>
    </row>
    <row r="1618" spans="2:5" x14ac:dyDescent="0.25">
      <c r="B1618" s="119"/>
      <c r="C1618" s="8"/>
      <c r="D1618" s="23"/>
      <c r="E1618" s="23"/>
    </row>
    <row r="1619" spans="2:5" x14ac:dyDescent="0.25">
      <c r="B1619" s="119"/>
      <c r="C1619" s="8"/>
      <c r="D1619" s="23"/>
      <c r="E1619" s="23"/>
    </row>
    <row r="1620" spans="2:5" x14ac:dyDescent="0.25">
      <c r="B1620" s="119"/>
      <c r="C1620" s="8"/>
      <c r="D1620" s="23"/>
      <c r="E1620" s="23"/>
    </row>
    <row r="1621" spans="2:5" x14ac:dyDescent="0.25">
      <c r="B1621" s="119"/>
      <c r="C1621" s="8"/>
      <c r="D1621" s="23"/>
      <c r="E1621" s="23"/>
    </row>
    <row r="1622" spans="2:5" x14ac:dyDescent="0.25">
      <c r="B1622" s="119"/>
      <c r="C1622" s="8"/>
      <c r="D1622" s="23"/>
      <c r="E1622" s="23"/>
    </row>
    <row r="1623" spans="2:5" x14ac:dyDescent="0.25">
      <c r="B1623" s="119"/>
      <c r="C1623" s="8"/>
      <c r="D1623" s="23"/>
      <c r="E1623" s="23"/>
    </row>
    <row r="1624" spans="2:5" x14ac:dyDescent="0.25">
      <c r="B1624" s="119"/>
      <c r="C1624" s="8"/>
      <c r="D1624" s="23"/>
      <c r="E1624" s="23"/>
    </row>
    <row r="1625" spans="2:5" x14ac:dyDescent="0.25">
      <c r="B1625" s="119"/>
      <c r="C1625" s="8"/>
      <c r="D1625" s="23"/>
      <c r="E1625" s="23"/>
    </row>
    <row r="1626" spans="2:5" x14ac:dyDescent="0.25">
      <c r="B1626" s="119"/>
      <c r="C1626" s="8"/>
      <c r="D1626" s="23"/>
      <c r="E1626" s="23"/>
    </row>
    <row r="1627" spans="2:5" x14ac:dyDescent="0.25">
      <c r="B1627" s="119"/>
      <c r="C1627" s="8"/>
      <c r="D1627" s="23"/>
      <c r="E1627" s="23"/>
    </row>
    <row r="1628" spans="2:5" x14ac:dyDescent="0.25">
      <c r="B1628" s="119"/>
      <c r="C1628" s="8"/>
      <c r="D1628" s="23"/>
      <c r="E1628" s="23"/>
    </row>
    <row r="1629" spans="2:5" x14ac:dyDescent="0.25">
      <c r="B1629" s="119"/>
      <c r="C1629" s="8"/>
      <c r="D1629" s="23"/>
      <c r="E1629" s="23"/>
    </row>
    <row r="1630" spans="2:5" x14ac:dyDescent="0.25">
      <c r="B1630" s="119"/>
      <c r="C1630" s="8"/>
      <c r="D1630" s="23"/>
      <c r="E1630" s="23"/>
    </row>
    <row r="1631" spans="2:5" x14ac:dyDescent="0.25">
      <c r="B1631" s="119"/>
      <c r="C1631" s="8"/>
      <c r="D1631" s="23"/>
      <c r="E1631" s="23"/>
    </row>
    <row r="1632" spans="2:5" x14ac:dyDescent="0.25">
      <c r="B1632" s="119"/>
      <c r="C1632" s="8"/>
      <c r="D1632" s="23"/>
      <c r="E1632" s="23"/>
    </row>
    <row r="1633" spans="2:5" x14ac:dyDescent="0.25">
      <c r="B1633" s="119"/>
      <c r="C1633" s="8"/>
      <c r="D1633" s="23"/>
      <c r="E1633" s="23"/>
    </row>
    <row r="1634" spans="2:5" x14ac:dyDescent="0.25">
      <c r="B1634" s="119"/>
      <c r="C1634" s="8"/>
      <c r="D1634" s="23"/>
      <c r="E1634" s="23"/>
    </row>
    <row r="1635" spans="2:5" x14ac:dyDescent="0.25">
      <c r="B1635" s="119"/>
      <c r="C1635" s="8"/>
      <c r="D1635" s="23"/>
      <c r="E1635" s="23"/>
    </row>
    <row r="1636" spans="2:5" x14ac:dyDescent="0.25">
      <c r="B1636" s="119"/>
      <c r="C1636" s="8"/>
      <c r="D1636" s="23"/>
      <c r="E1636" s="23"/>
    </row>
    <row r="1637" spans="2:5" x14ac:dyDescent="0.25">
      <c r="B1637" s="119"/>
      <c r="C1637" s="8"/>
      <c r="D1637" s="23"/>
      <c r="E1637" s="23"/>
    </row>
    <row r="1638" spans="2:5" x14ac:dyDescent="0.25">
      <c r="B1638" s="119"/>
      <c r="C1638" s="8"/>
      <c r="D1638" s="23"/>
      <c r="E1638" s="23"/>
    </row>
    <row r="1639" spans="2:5" x14ac:dyDescent="0.25">
      <c r="B1639" s="119"/>
      <c r="C1639" s="8"/>
      <c r="D1639" s="23"/>
      <c r="E1639" s="23"/>
    </row>
    <row r="1640" spans="2:5" x14ac:dyDescent="0.25">
      <c r="B1640" s="119"/>
      <c r="C1640" s="8"/>
      <c r="D1640" s="23"/>
      <c r="E1640" s="23"/>
    </row>
    <row r="1641" spans="2:5" x14ac:dyDescent="0.25">
      <c r="B1641" s="119"/>
      <c r="C1641" s="8"/>
      <c r="D1641" s="23"/>
      <c r="E1641" s="23"/>
    </row>
    <row r="1642" spans="2:5" x14ac:dyDescent="0.25">
      <c r="B1642" s="119"/>
      <c r="C1642" s="8"/>
      <c r="D1642" s="23"/>
      <c r="E1642" s="23"/>
    </row>
    <row r="1643" spans="2:5" x14ac:dyDescent="0.25">
      <c r="B1643" s="119"/>
      <c r="C1643" s="8"/>
      <c r="D1643" s="23"/>
      <c r="E1643" s="23"/>
    </row>
    <row r="1644" spans="2:5" x14ac:dyDescent="0.25">
      <c r="B1644" s="119"/>
      <c r="C1644" s="8"/>
      <c r="D1644" s="23"/>
      <c r="E1644" s="23"/>
    </row>
    <row r="1645" spans="2:5" x14ac:dyDescent="0.25">
      <c r="B1645" s="119"/>
      <c r="C1645" s="8"/>
      <c r="D1645" s="23"/>
      <c r="E1645" s="23"/>
    </row>
    <row r="1646" spans="2:5" x14ac:dyDescent="0.25">
      <c r="B1646" s="119"/>
      <c r="C1646" s="8"/>
      <c r="D1646" s="23"/>
      <c r="E1646" s="23"/>
    </row>
    <row r="1647" spans="2:5" x14ac:dyDescent="0.25">
      <c r="B1647" s="119"/>
      <c r="C1647" s="8"/>
      <c r="D1647" s="23"/>
      <c r="E1647" s="23"/>
    </row>
    <row r="1648" spans="2:5" x14ac:dyDescent="0.25">
      <c r="B1648" s="119"/>
      <c r="C1648" s="8"/>
      <c r="D1648" s="23"/>
      <c r="E1648" s="23"/>
    </row>
    <row r="1649" spans="2:5" x14ac:dyDescent="0.25">
      <c r="B1649" s="119"/>
      <c r="C1649" s="8"/>
      <c r="D1649" s="23"/>
      <c r="E1649" s="23"/>
    </row>
    <row r="1650" spans="2:5" x14ac:dyDescent="0.25">
      <c r="B1650" s="119"/>
      <c r="C1650" s="8"/>
      <c r="D1650" s="23"/>
      <c r="E1650" s="23"/>
    </row>
    <row r="1651" spans="2:5" x14ac:dyDescent="0.25">
      <c r="B1651" s="119"/>
      <c r="C1651" s="8"/>
      <c r="D1651" s="23"/>
      <c r="E1651" s="23"/>
    </row>
    <row r="1652" spans="2:5" x14ac:dyDescent="0.25">
      <c r="B1652" s="119"/>
      <c r="C1652" s="8"/>
      <c r="D1652" s="23"/>
      <c r="E1652" s="23"/>
    </row>
    <row r="1653" spans="2:5" x14ac:dyDescent="0.25">
      <c r="B1653" s="119"/>
      <c r="C1653" s="8"/>
      <c r="D1653" s="23"/>
      <c r="E1653" s="23"/>
    </row>
    <row r="1654" spans="2:5" x14ac:dyDescent="0.25">
      <c r="B1654" s="119"/>
      <c r="C1654" s="8"/>
      <c r="D1654" s="23"/>
      <c r="E1654" s="23"/>
    </row>
    <row r="1655" spans="2:5" x14ac:dyDescent="0.25">
      <c r="B1655" s="119"/>
      <c r="C1655" s="8"/>
      <c r="D1655" s="23"/>
      <c r="E1655" s="23"/>
    </row>
    <row r="1656" spans="2:5" x14ac:dyDescent="0.25">
      <c r="B1656" s="119"/>
      <c r="C1656" s="8"/>
      <c r="D1656" s="23"/>
      <c r="E1656" s="23"/>
    </row>
    <row r="1657" spans="2:5" x14ac:dyDescent="0.25">
      <c r="B1657" s="119"/>
      <c r="C1657" s="8"/>
      <c r="D1657" s="23"/>
      <c r="E1657" s="23"/>
    </row>
    <row r="1658" spans="2:5" x14ac:dyDescent="0.25">
      <c r="B1658" s="119"/>
      <c r="C1658" s="8"/>
      <c r="D1658" s="23"/>
      <c r="E1658" s="23"/>
    </row>
    <row r="1659" spans="2:5" x14ac:dyDescent="0.25">
      <c r="B1659" s="119"/>
      <c r="C1659" s="8"/>
      <c r="D1659" s="23"/>
      <c r="E1659" s="23"/>
    </row>
    <row r="1660" spans="2:5" x14ac:dyDescent="0.25">
      <c r="B1660" s="119"/>
      <c r="C1660" s="8"/>
      <c r="D1660" s="23"/>
      <c r="E1660" s="23"/>
    </row>
    <row r="1661" spans="2:5" x14ac:dyDescent="0.25">
      <c r="B1661" s="119"/>
      <c r="C1661" s="8"/>
      <c r="D1661" s="23"/>
      <c r="E1661" s="23"/>
    </row>
    <row r="1662" spans="2:5" x14ac:dyDescent="0.25">
      <c r="B1662" s="119"/>
      <c r="C1662" s="8"/>
      <c r="D1662" s="23"/>
      <c r="E1662" s="23"/>
    </row>
    <row r="1663" spans="2:5" x14ac:dyDescent="0.25">
      <c r="B1663" s="119"/>
      <c r="C1663" s="8"/>
      <c r="D1663" s="23"/>
      <c r="E1663" s="23"/>
    </row>
    <row r="1664" spans="2:5" x14ac:dyDescent="0.25">
      <c r="B1664" s="119"/>
      <c r="C1664" s="8"/>
      <c r="D1664" s="23"/>
      <c r="E1664" s="23"/>
    </row>
    <row r="1665" spans="2:5" x14ac:dyDescent="0.25">
      <c r="B1665" s="119"/>
      <c r="C1665" s="8"/>
      <c r="D1665" s="23"/>
      <c r="E1665" s="23"/>
    </row>
    <row r="1666" spans="2:5" x14ac:dyDescent="0.25">
      <c r="B1666" s="119"/>
      <c r="C1666" s="8"/>
      <c r="D1666" s="23"/>
      <c r="E1666" s="23"/>
    </row>
    <row r="1667" spans="2:5" x14ac:dyDescent="0.25">
      <c r="B1667" s="119"/>
      <c r="C1667" s="8"/>
      <c r="D1667" s="23"/>
      <c r="E1667" s="23"/>
    </row>
    <row r="1668" spans="2:5" x14ac:dyDescent="0.25">
      <c r="B1668" s="119"/>
      <c r="C1668" s="8"/>
      <c r="D1668" s="23"/>
      <c r="E1668" s="23"/>
    </row>
    <row r="1669" spans="2:5" x14ac:dyDescent="0.25">
      <c r="B1669" s="119"/>
      <c r="C1669" s="8"/>
      <c r="D1669" s="23"/>
      <c r="E1669" s="23"/>
    </row>
    <row r="1670" spans="2:5" x14ac:dyDescent="0.25">
      <c r="B1670" s="119"/>
      <c r="C1670" s="8"/>
      <c r="D1670" s="23"/>
      <c r="E1670" s="23"/>
    </row>
    <row r="1671" spans="2:5" x14ac:dyDescent="0.25">
      <c r="B1671" s="119"/>
      <c r="C1671" s="8"/>
      <c r="D1671" s="23"/>
      <c r="E1671" s="23"/>
    </row>
    <row r="1672" spans="2:5" x14ac:dyDescent="0.25">
      <c r="B1672" s="119"/>
      <c r="C1672" s="8"/>
      <c r="D1672" s="23"/>
      <c r="E1672" s="23"/>
    </row>
    <row r="1673" spans="2:5" x14ac:dyDescent="0.25">
      <c r="B1673" s="119"/>
      <c r="C1673" s="8"/>
      <c r="D1673" s="23"/>
      <c r="E1673" s="23"/>
    </row>
    <row r="1674" spans="2:5" x14ac:dyDescent="0.25">
      <c r="B1674" s="119"/>
      <c r="C1674" s="8"/>
      <c r="D1674" s="23"/>
      <c r="E1674" s="23"/>
    </row>
    <row r="1675" spans="2:5" x14ac:dyDescent="0.25">
      <c r="B1675" s="119"/>
      <c r="C1675" s="8"/>
      <c r="D1675" s="23"/>
      <c r="E1675" s="23"/>
    </row>
    <row r="1676" spans="2:5" x14ac:dyDescent="0.25">
      <c r="B1676" s="119"/>
      <c r="C1676" s="8"/>
      <c r="D1676" s="23"/>
      <c r="E1676" s="23"/>
    </row>
    <row r="1677" spans="2:5" x14ac:dyDescent="0.25">
      <c r="B1677" s="119"/>
      <c r="C1677" s="8"/>
      <c r="D1677" s="23"/>
      <c r="E1677" s="23"/>
    </row>
    <row r="1678" spans="2:5" x14ac:dyDescent="0.25">
      <c r="B1678" s="119"/>
      <c r="C1678" s="8"/>
      <c r="D1678" s="23"/>
      <c r="E1678" s="23"/>
    </row>
    <row r="1679" spans="2:5" x14ac:dyDescent="0.25">
      <c r="B1679" s="119"/>
      <c r="C1679" s="8"/>
      <c r="D1679" s="23"/>
      <c r="E1679" s="23"/>
    </row>
    <row r="1680" spans="2:5" x14ac:dyDescent="0.25">
      <c r="B1680" s="119"/>
      <c r="C1680" s="8"/>
      <c r="D1680" s="23"/>
      <c r="E1680" s="23"/>
    </row>
    <row r="1681" spans="2:5" x14ac:dyDescent="0.25">
      <c r="B1681" s="119"/>
      <c r="C1681" s="8"/>
      <c r="D1681" s="23"/>
      <c r="E1681" s="23"/>
    </row>
    <row r="1682" spans="2:5" x14ac:dyDescent="0.25">
      <c r="B1682" s="119"/>
      <c r="C1682" s="8"/>
      <c r="D1682" s="23"/>
      <c r="E1682" s="23"/>
    </row>
    <row r="1683" spans="2:5" x14ac:dyDescent="0.25">
      <c r="B1683" s="119"/>
      <c r="C1683" s="8"/>
      <c r="D1683" s="23"/>
      <c r="E1683" s="23"/>
    </row>
    <row r="1684" spans="2:5" x14ac:dyDescent="0.25">
      <c r="B1684" s="119"/>
      <c r="C1684" s="8"/>
      <c r="D1684" s="23"/>
      <c r="E1684" s="23"/>
    </row>
    <row r="1685" spans="2:5" x14ac:dyDescent="0.25">
      <c r="B1685" s="119"/>
      <c r="C1685" s="8"/>
      <c r="D1685" s="23"/>
      <c r="E1685" s="23"/>
    </row>
    <row r="1686" spans="2:5" x14ac:dyDescent="0.25">
      <c r="B1686" s="119"/>
      <c r="C1686" s="8"/>
      <c r="D1686" s="23"/>
      <c r="E1686" s="23"/>
    </row>
    <row r="1687" spans="2:5" x14ac:dyDescent="0.25">
      <c r="B1687" s="119"/>
      <c r="C1687" s="8"/>
      <c r="D1687" s="23"/>
      <c r="E1687" s="23"/>
    </row>
    <row r="1688" spans="2:5" x14ac:dyDescent="0.25">
      <c r="B1688" s="119"/>
      <c r="C1688" s="8"/>
      <c r="D1688" s="23"/>
      <c r="E1688" s="23"/>
    </row>
    <row r="1689" spans="2:5" x14ac:dyDescent="0.25">
      <c r="B1689" s="119"/>
      <c r="C1689" s="8"/>
      <c r="D1689" s="23"/>
      <c r="E1689" s="23"/>
    </row>
    <row r="1690" spans="2:5" x14ac:dyDescent="0.25">
      <c r="B1690" s="119"/>
      <c r="C1690" s="8"/>
      <c r="D1690" s="23"/>
      <c r="E1690" s="23"/>
    </row>
    <row r="1691" spans="2:5" x14ac:dyDescent="0.25">
      <c r="B1691" s="119"/>
      <c r="C1691" s="8"/>
      <c r="D1691" s="23"/>
      <c r="E1691" s="23"/>
    </row>
    <row r="1692" spans="2:5" x14ac:dyDescent="0.25">
      <c r="B1692" s="119"/>
      <c r="C1692" s="8"/>
      <c r="D1692" s="23"/>
      <c r="E1692" s="23"/>
    </row>
    <row r="1693" spans="2:5" x14ac:dyDescent="0.25">
      <c r="B1693" s="119"/>
      <c r="C1693" s="8"/>
      <c r="D1693" s="23"/>
      <c r="E1693" s="23"/>
    </row>
    <row r="1694" spans="2:5" x14ac:dyDescent="0.25">
      <c r="B1694" s="119"/>
      <c r="C1694" s="8"/>
      <c r="D1694" s="23"/>
      <c r="E1694" s="23"/>
    </row>
    <row r="1695" spans="2:5" x14ac:dyDescent="0.25">
      <c r="B1695" s="119"/>
      <c r="C1695" s="8"/>
      <c r="D1695" s="23"/>
      <c r="E1695" s="23"/>
    </row>
    <row r="1696" spans="2:5" x14ac:dyDescent="0.25">
      <c r="B1696" s="119"/>
      <c r="C1696" s="8"/>
      <c r="D1696" s="23"/>
      <c r="E1696" s="23"/>
    </row>
    <row r="1697" spans="2:5" x14ac:dyDescent="0.25">
      <c r="B1697" s="119"/>
      <c r="C1697" s="8"/>
      <c r="D1697" s="23"/>
      <c r="E1697" s="23"/>
    </row>
    <row r="1698" spans="2:5" x14ac:dyDescent="0.25">
      <c r="B1698" s="119"/>
      <c r="C1698" s="8"/>
      <c r="D1698" s="23"/>
      <c r="E1698" s="23"/>
    </row>
    <row r="1699" spans="2:5" x14ac:dyDescent="0.25">
      <c r="B1699" s="119"/>
      <c r="C1699" s="8"/>
      <c r="D1699" s="23"/>
      <c r="E1699" s="23"/>
    </row>
    <row r="1700" spans="2:5" x14ac:dyDescent="0.25">
      <c r="B1700" s="119"/>
      <c r="C1700" s="8"/>
      <c r="D1700" s="23"/>
      <c r="E1700" s="23"/>
    </row>
    <row r="1701" spans="2:5" x14ac:dyDescent="0.25">
      <c r="B1701" s="119"/>
      <c r="C1701" s="8"/>
      <c r="D1701" s="23"/>
      <c r="E1701" s="23"/>
    </row>
    <row r="1702" spans="2:5" x14ac:dyDescent="0.25">
      <c r="B1702" s="119"/>
      <c r="C1702" s="8"/>
      <c r="D1702" s="23"/>
      <c r="E1702" s="23"/>
    </row>
    <row r="1703" spans="2:5" x14ac:dyDescent="0.25">
      <c r="B1703" s="119"/>
      <c r="C1703" s="8"/>
      <c r="D1703" s="23"/>
      <c r="E1703" s="23"/>
    </row>
    <row r="1704" spans="2:5" x14ac:dyDescent="0.25">
      <c r="B1704" s="119"/>
      <c r="C1704" s="8"/>
      <c r="D1704" s="23"/>
      <c r="E1704" s="23"/>
    </row>
    <row r="1705" spans="2:5" x14ac:dyDescent="0.25">
      <c r="B1705" s="119"/>
      <c r="C1705" s="8"/>
      <c r="D1705" s="23"/>
      <c r="E1705" s="23"/>
    </row>
    <row r="1706" spans="2:5" x14ac:dyDescent="0.25">
      <c r="B1706" s="119"/>
      <c r="C1706" s="8"/>
      <c r="D1706" s="23"/>
      <c r="E1706" s="23"/>
    </row>
    <row r="1707" spans="2:5" x14ac:dyDescent="0.25">
      <c r="B1707" s="119"/>
      <c r="C1707" s="8"/>
      <c r="D1707" s="23"/>
      <c r="E1707" s="23"/>
    </row>
    <row r="1708" spans="2:5" x14ac:dyDescent="0.25">
      <c r="B1708" s="119"/>
      <c r="C1708" s="8"/>
      <c r="D1708" s="23"/>
      <c r="E1708" s="23"/>
    </row>
    <row r="1709" spans="2:5" x14ac:dyDescent="0.25">
      <c r="B1709" s="119"/>
      <c r="C1709" s="8"/>
      <c r="D1709" s="23"/>
      <c r="E1709" s="23"/>
    </row>
    <row r="1710" spans="2:5" x14ac:dyDescent="0.25">
      <c r="B1710" s="119"/>
      <c r="C1710" s="8"/>
      <c r="D1710" s="23"/>
      <c r="E1710" s="23"/>
    </row>
    <row r="1711" spans="2:5" x14ac:dyDescent="0.25">
      <c r="B1711" s="119"/>
      <c r="C1711" s="8"/>
      <c r="D1711" s="23"/>
      <c r="E1711" s="23"/>
    </row>
    <row r="1712" spans="2:5" x14ac:dyDescent="0.25">
      <c r="B1712" s="119"/>
      <c r="C1712" s="8"/>
      <c r="D1712" s="23"/>
      <c r="E1712" s="23"/>
    </row>
    <row r="1713" spans="2:5" x14ac:dyDescent="0.25">
      <c r="B1713" s="119"/>
      <c r="C1713" s="8"/>
      <c r="D1713" s="23"/>
      <c r="E1713" s="23"/>
    </row>
    <row r="1714" spans="2:5" x14ac:dyDescent="0.25">
      <c r="B1714" s="119"/>
      <c r="C1714" s="8"/>
      <c r="D1714" s="23"/>
      <c r="E1714" s="23"/>
    </row>
    <row r="1715" spans="2:5" x14ac:dyDescent="0.25">
      <c r="B1715" s="119"/>
      <c r="C1715" s="8"/>
      <c r="D1715" s="23"/>
      <c r="E1715" s="23"/>
    </row>
    <row r="1716" spans="2:5" x14ac:dyDescent="0.25">
      <c r="B1716" s="119"/>
      <c r="C1716" s="8"/>
      <c r="D1716" s="23"/>
      <c r="E1716" s="23"/>
    </row>
    <row r="1717" spans="2:5" x14ac:dyDescent="0.25">
      <c r="B1717" s="119"/>
      <c r="C1717" s="8"/>
      <c r="D1717" s="23"/>
      <c r="E1717" s="23"/>
    </row>
    <row r="1718" spans="2:5" x14ac:dyDescent="0.25">
      <c r="B1718" s="119"/>
      <c r="C1718" s="8"/>
      <c r="D1718" s="23"/>
      <c r="E1718" s="23"/>
    </row>
    <row r="1719" spans="2:5" x14ac:dyDescent="0.25">
      <c r="B1719" s="119"/>
      <c r="C1719" s="8"/>
      <c r="D1719" s="23"/>
      <c r="E1719" s="23"/>
    </row>
    <row r="1720" spans="2:5" x14ac:dyDescent="0.25">
      <c r="B1720" s="119"/>
      <c r="C1720" s="8"/>
      <c r="D1720" s="23"/>
      <c r="E1720" s="23"/>
    </row>
    <row r="1721" spans="2:5" x14ac:dyDescent="0.25">
      <c r="B1721" s="119"/>
      <c r="C1721" s="8"/>
      <c r="D1721" s="23"/>
      <c r="E1721" s="23"/>
    </row>
    <row r="1722" spans="2:5" x14ac:dyDescent="0.25">
      <c r="B1722" s="119"/>
      <c r="C1722" s="8"/>
      <c r="D1722" s="23"/>
      <c r="E1722" s="23"/>
    </row>
    <row r="1723" spans="2:5" x14ac:dyDescent="0.25">
      <c r="B1723" s="119"/>
      <c r="C1723" s="8"/>
      <c r="D1723" s="23"/>
      <c r="E1723" s="23"/>
    </row>
    <row r="1724" spans="2:5" x14ac:dyDescent="0.25">
      <c r="B1724" s="119"/>
      <c r="C1724" s="8"/>
      <c r="D1724" s="23"/>
      <c r="E1724" s="23"/>
    </row>
    <row r="1725" spans="2:5" x14ac:dyDescent="0.25">
      <c r="B1725" s="119"/>
      <c r="C1725" s="8"/>
      <c r="D1725" s="23"/>
      <c r="E1725" s="23"/>
    </row>
    <row r="1726" spans="2:5" x14ac:dyDescent="0.25">
      <c r="B1726" s="119"/>
      <c r="C1726" s="8"/>
      <c r="D1726" s="23"/>
      <c r="E1726" s="23"/>
    </row>
    <row r="1727" spans="2:5" x14ac:dyDescent="0.25">
      <c r="B1727" s="119"/>
      <c r="C1727" s="8"/>
      <c r="D1727" s="23"/>
      <c r="E1727" s="23"/>
    </row>
    <row r="1728" spans="2:5" x14ac:dyDescent="0.25">
      <c r="B1728" s="119"/>
      <c r="C1728" s="8"/>
      <c r="D1728" s="23"/>
      <c r="E1728" s="23"/>
    </row>
    <row r="1729" spans="2:5" x14ac:dyDescent="0.25">
      <c r="B1729" s="119"/>
      <c r="C1729" s="8"/>
      <c r="D1729" s="23"/>
      <c r="E1729" s="23"/>
    </row>
    <row r="1730" spans="2:5" x14ac:dyDescent="0.25">
      <c r="B1730" s="119"/>
      <c r="C1730" s="8"/>
      <c r="D1730" s="23"/>
      <c r="E1730" s="23"/>
    </row>
    <row r="1731" spans="2:5" x14ac:dyDescent="0.25">
      <c r="B1731" s="119"/>
      <c r="C1731" s="8"/>
      <c r="D1731" s="23"/>
      <c r="E1731" s="23"/>
    </row>
    <row r="1732" spans="2:5" x14ac:dyDescent="0.25">
      <c r="B1732" s="119"/>
      <c r="C1732" s="8"/>
      <c r="D1732" s="23"/>
      <c r="E1732" s="23"/>
    </row>
    <row r="1733" spans="2:5" x14ac:dyDescent="0.25">
      <c r="B1733" s="119"/>
      <c r="C1733" s="8"/>
      <c r="D1733" s="23"/>
      <c r="E1733" s="23"/>
    </row>
    <row r="1734" spans="2:5" x14ac:dyDescent="0.25">
      <c r="B1734" s="119"/>
      <c r="C1734" s="8"/>
      <c r="D1734" s="23"/>
      <c r="E1734" s="23"/>
    </row>
    <row r="1735" spans="2:5" x14ac:dyDescent="0.25">
      <c r="B1735" s="119"/>
      <c r="C1735" s="8"/>
      <c r="D1735" s="23"/>
      <c r="E1735" s="23"/>
    </row>
    <row r="1736" spans="2:5" x14ac:dyDescent="0.25">
      <c r="B1736" s="119"/>
      <c r="C1736" s="8"/>
      <c r="D1736" s="23"/>
      <c r="E1736" s="23"/>
    </row>
    <row r="1737" spans="2:5" x14ac:dyDescent="0.25">
      <c r="B1737" s="119"/>
      <c r="C1737" s="8"/>
      <c r="D1737" s="23"/>
      <c r="E1737" s="23"/>
    </row>
    <row r="1738" spans="2:5" x14ac:dyDescent="0.25">
      <c r="B1738" s="119"/>
      <c r="C1738" s="8"/>
      <c r="D1738" s="23"/>
      <c r="E1738" s="23"/>
    </row>
    <row r="1739" spans="2:5" x14ac:dyDescent="0.25">
      <c r="B1739" s="119"/>
      <c r="C1739" s="8"/>
      <c r="D1739" s="23"/>
      <c r="E1739" s="23"/>
    </row>
    <row r="1740" spans="2:5" x14ac:dyDescent="0.25">
      <c r="B1740" s="119"/>
      <c r="C1740" s="8"/>
      <c r="D1740" s="23"/>
      <c r="E1740" s="23"/>
    </row>
    <row r="1741" spans="2:5" x14ac:dyDescent="0.25">
      <c r="B1741" s="119"/>
      <c r="C1741" s="8"/>
      <c r="D1741" s="23"/>
      <c r="E1741" s="23"/>
    </row>
    <row r="1742" spans="2:5" x14ac:dyDescent="0.25">
      <c r="B1742" s="119"/>
      <c r="C1742" s="8"/>
      <c r="D1742" s="23"/>
      <c r="E1742" s="23"/>
    </row>
    <row r="1743" spans="2:5" x14ac:dyDescent="0.25">
      <c r="B1743" s="119"/>
      <c r="C1743" s="8"/>
      <c r="D1743" s="23"/>
      <c r="E1743" s="23"/>
    </row>
    <row r="1744" spans="2:5" x14ac:dyDescent="0.25">
      <c r="B1744" s="119"/>
      <c r="C1744" s="8"/>
      <c r="D1744" s="23"/>
      <c r="E1744" s="23"/>
    </row>
    <row r="1745" spans="2:5" x14ac:dyDescent="0.25">
      <c r="B1745" s="119"/>
      <c r="C1745" s="8"/>
      <c r="D1745" s="23"/>
      <c r="E1745" s="23"/>
    </row>
    <row r="1746" spans="2:5" x14ac:dyDescent="0.25">
      <c r="B1746" s="119"/>
      <c r="C1746" s="8"/>
      <c r="D1746" s="23"/>
      <c r="E1746" s="23"/>
    </row>
    <row r="1747" spans="2:5" x14ac:dyDescent="0.25">
      <c r="B1747" s="119"/>
      <c r="C1747" s="8"/>
      <c r="D1747" s="23"/>
      <c r="E1747" s="23"/>
    </row>
    <row r="1748" spans="2:5" x14ac:dyDescent="0.25">
      <c r="B1748" s="119"/>
      <c r="C1748" s="8"/>
      <c r="D1748" s="23"/>
      <c r="E1748" s="23"/>
    </row>
    <row r="1749" spans="2:5" x14ac:dyDescent="0.25">
      <c r="B1749" s="119"/>
      <c r="C1749" s="8"/>
      <c r="D1749" s="23"/>
      <c r="E1749" s="23"/>
    </row>
    <row r="1750" spans="2:5" x14ac:dyDescent="0.25">
      <c r="B1750" s="119"/>
      <c r="C1750" s="8"/>
      <c r="D1750" s="23"/>
      <c r="E1750" s="23"/>
    </row>
    <row r="1751" spans="2:5" x14ac:dyDescent="0.25">
      <c r="B1751" s="119"/>
      <c r="C1751" s="8"/>
      <c r="D1751" s="23"/>
      <c r="E1751" s="23"/>
    </row>
    <row r="1752" spans="2:5" x14ac:dyDescent="0.25">
      <c r="B1752" s="119"/>
      <c r="C1752" s="8"/>
      <c r="D1752" s="23"/>
      <c r="E1752" s="23"/>
    </row>
    <row r="1753" spans="2:5" x14ac:dyDescent="0.25">
      <c r="B1753" s="119"/>
      <c r="C1753" s="8"/>
      <c r="D1753" s="23"/>
      <c r="E1753" s="23"/>
    </row>
    <row r="1754" spans="2:5" x14ac:dyDescent="0.25">
      <c r="B1754" s="119"/>
      <c r="C1754" s="8"/>
      <c r="D1754" s="23"/>
      <c r="E1754" s="23"/>
    </row>
    <row r="1755" spans="2:5" x14ac:dyDescent="0.25">
      <c r="B1755" s="119"/>
      <c r="C1755" s="8"/>
      <c r="D1755" s="23"/>
      <c r="E1755" s="23"/>
    </row>
    <row r="1756" spans="2:5" x14ac:dyDescent="0.25">
      <c r="B1756" s="119"/>
      <c r="C1756" s="8"/>
      <c r="D1756" s="23"/>
      <c r="E1756" s="23"/>
    </row>
    <row r="1757" spans="2:5" x14ac:dyDescent="0.25">
      <c r="B1757" s="119"/>
      <c r="C1757" s="8"/>
      <c r="D1757" s="23"/>
      <c r="E1757" s="23"/>
    </row>
    <row r="1758" spans="2:5" x14ac:dyDescent="0.25">
      <c r="B1758" s="119"/>
      <c r="C1758" s="8"/>
      <c r="D1758" s="23"/>
      <c r="E1758" s="23"/>
    </row>
    <row r="1759" spans="2:5" x14ac:dyDescent="0.25">
      <c r="B1759" s="119"/>
      <c r="C1759" s="8"/>
      <c r="D1759" s="23"/>
      <c r="E1759" s="23"/>
    </row>
    <row r="1760" spans="2:5" x14ac:dyDescent="0.25">
      <c r="B1760" s="119"/>
      <c r="C1760" s="8"/>
      <c r="D1760" s="23"/>
      <c r="E1760" s="23"/>
    </row>
    <row r="1761" spans="2:5" x14ac:dyDescent="0.25">
      <c r="B1761" s="119"/>
      <c r="C1761" s="8"/>
      <c r="D1761" s="23"/>
      <c r="E1761" s="23"/>
    </row>
    <row r="1762" spans="2:5" x14ac:dyDescent="0.25">
      <c r="B1762" s="119"/>
      <c r="C1762" s="8"/>
      <c r="D1762" s="23"/>
      <c r="E1762" s="23"/>
    </row>
    <row r="1763" spans="2:5" x14ac:dyDescent="0.25">
      <c r="B1763" s="119"/>
      <c r="C1763" s="8"/>
      <c r="D1763" s="23"/>
      <c r="E1763" s="23"/>
    </row>
    <row r="1764" spans="2:5" x14ac:dyDescent="0.25">
      <c r="B1764" s="119"/>
      <c r="C1764" s="8"/>
      <c r="D1764" s="23"/>
      <c r="E1764" s="23"/>
    </row>
    <row r="1765" spans="2:5" x14ac:dyDescent="0.25">
      <c r="B1765" s="119"/>
      <c r="C1765" s="8"/>
      <c r="D1765" s="23"/>
      <c r="E1765" s="23"/>
    </row>
    <row r="1766" spans="2:5" x14ac:dyDescent="0.25">
      <c r="B1766" s="119"/>
      <c r="C1766" s="8"/>
      <c r="D1766" s="23"/>
      <c r="E1766" s="23"/>
    </row>
    <row r="1767" spans="2:5" x14ac:dyDescent="0.25">
      <c r="B1767" s="119"/>
      <c r="C1767" s="8"/>
      <c r="D1767" s="23"/>
      <c r="E1767" s="23"/>
    </row>
    <row r="1768" spans="2:5" x14ac:dyDescent="0.25">
      <c r="B1768" s="119"/>
      <c r="C1768" s="8"/>
      <c r="D1768" s="23"/>
      <c r="E1768" s="23"/>
    </row>
    <row r="1769" spans="2:5" x14ac:dyDescent="0.25">
      <c r="B1769" s="119"/>
      <c r="C1769" s="8"/>
      <c r="D1769" s="23"/>
      <c r="E1769" s="23"/>
    </row>
    <row r="1770" spans="2:5" x14ac:dyDescent="0.25">
      <c r="B1770" s="119"/>
      <c r="C1770" s="8"/>
      <c r="D1770" s="23"/>
      <c r="E1770" s="23"/>
    </row>
    <row r="1771" spans="2:5" x14ac:dyDescent="0.25">
      <c r="B1771" s="119"/>
      <c r="C1771" s="8"/>
      <c r="D1771" s="23"/>
      <c r="E1771" s="23"/>
    </row>
    <row r="1772" spans="2:5" x14ac:dyDescent="0.25">
      <c r="B1772" s="119"/>
      <c r="C1772" s="8"/>
      <c r="D1772" s="23"/>
      <c r="E1772" s="23"/>
    </row>
    <row r="1773" spans="2:5" x14ac:dyDescent="0.25">
      <c r="B1773" s="119"/>
      <c r="C1773" s="8"/>
      <c r="D1773" s="23"/>
      <c r="E1773" s="23"/>
    </row>
    <row r="1774" spans="2:5" x14ac:dyDescent="0.25">
      <c r="B1774" s="119"/>
      <c r="C1774" s="8"/>
      <c r="D1774" s="23"/>
      <c r="E1774" s="23"/>
    </row>
    <row r="1775" spans="2:5" x14ac:dyDescent="0.25">
      <c r="B1775" s="119"/>
      <c r="C1775" s="8"/>
      <c r="D1775" s="23"/>
      <c r="E1775" s="23"/>
    </row>
    <row r="1776" spans="2:5" x14ac:dyDescent="0.25">
      <c r="B1776" s="119"/>
      <c r="C1776" s="8"/>
      <c r="D1776" s="23"/>
      <c r="E1776" s="23"/>
    </row>
    <row r="1777" spans="2:5" x14ac:dyDescent="0.25">
      <c r="B1777" s="119"/>
      <c r="C1777" s="8"/>
      <c r="D1777" s="23"/>
      <c r="E1777" s="23"/>
    </row>
    <row r="1778" spans="2:5" x14ac:dyDescent="0.25">
      <c r="B1778" s="119"/>
      <c r="C1778" s="8"/>
      <c r="D1778" s="23"/>
      <c r="E1778" s="23"/>
    </row>
    <row r="1779" spans="2:5" x14ac:dyDescent="0.25">
      <c r="B1779" s="119"/>
      <c r="C1779" s="8"/>
      <c r="D1779" s="23"/>
      <c r="E1779" s="23"/>
    </row>
    <row r="1780" spans="2:5" x14ac:dyDescent="0.25">
      <c r="B1780" s="119"/>
      <c r="C1780" s="8"/>
      <c r="D1780" s="23"/>
      <c r="E1780" s="23"/>
    </row>
    <row r="1781" spans="2:5" x14ac:dyDescent="0.25">
      <c r="B1781" s="119"/>
      <c r="C1781" s="8"/>
      <c r="D1781" s="23"/>
      <c r="E1781" s="23"/>
    </row>
    <row r="1782" spans="2:5" x14ac:dyDescent="0.25">
      <c r="B1782" s="119"/>
      <c r="C1782" s="8"/>
      <c r="D1782" s="23"/>
      <c r="E1782" s="23"/>
    </row>
    <row r="1783" spans="2:5" x14ac:dyDescent="0.25">
      <c r="B1783" s="119"/>
      <c r="C1783" s="8"/>
      <c r="D1783" s="23"/>
      <c r="E1783" s="23"/>
    </row>
    <row r="1784" spans="2:5" x14ac:dyDescent="0.25">
      <c r="B1784" s="119"/>
      <c r="C1784" s="8"/>
      <c r="D1784" s="23"/>
      <c r="E1784" s="23"/>
    </row>
    <row r="1785" spans="2:5" x14ac:dyDescent="0.25">
      <c r="B1785" s="119"/>
      <c r="C1785" s="8"/>
      <c r="D1785" s="23"/>
      <c r="E1785" s="23"/>
    </row>
    <row r="1786" spans="2:5" x14ac:dyDescent="0.25">
      <c r="B1786" s="119"/>
      <c r="C1786" s="8"/>
      <c r="D1786" s="23"/>
      <c r="E1786" s="23"/>
    </row>
    <row r="1787" spans="2:5" x14ac:dyDescent="0.25">
      <c r="B1787" s="119"/>
      <c r="C1787" s="8"/>
      <c r="D1787" s="23"/>
      <c r="E1787" s="23"/>
    </row>
    <row r="1788" spans="2:5" x14ac:dyDescent="0.25">
      <c r="B1788" s="119"/>
      <c r="C1788" s="8"/>
      <c r="D1788" s="23"/>
      <c r="E1788" s="23"/>
    </row>
    <row r="1789" spans="2:5" x14ac:dyDescent="0.25">
      <c r="B1789" s="119"/>
      <c r="C1789" s="8"/>
      <c r="D1789" s="23"/>
      <c r="E1789" s="23"/>
    </row>
    <row r="1790" spans="2:5" x14ac:dyDescent="0.25">
      <c r="B1790" s="119"/>
      <c r="C1790" s="8"/>
      <c r="D1790" s="23"/>
      <c r="E1790" s="23"/>
    </row>
    <row r="1791" spans="2:5" x14ac:dyDescent="0.25">
      <c r="B1791" s="119"/>
      <c r="C1791" s="8"/>
      <c r="D1791" s="23"/>
      <c r="E1791" s="23"/>
    </row>
    <row r="1792" spans="2:5" x14ac:dyDescent="0.25">
      <c r="B1792" s="119"/>
      <c r="C1792" s="8"/>
      <c r="D1792" s="23"/>
      <c r="E1792" s="23"/>
    </row>
    <row r="1793" spans="2:5" x14ac:dyDescent="0.25">
      <c r="B1793" s="119"/>
      <c r="C1793" s="8"/>
      <c r="D1793" s="23"/>
      <c r="E1793" s="23"/>
    </row>
    <row r="1794" spans="2:5" x14ac:dyDescent="0.25">
      <c r="B1794" s="119"/>
      <c r="C1794" s="8"/>
      <c r="D1794" s="23"/>
      <c r="E1794" s="23"/>
    </row>
    <row r="1795" spans="2:5" x14ac:dyDescent="0.25">
      <c r="B1795" s="119"/>
      <c r="C1795" s="8"/>
      <c r="D1795" s="23"/>
      <c r="E1795" s="23"/>
    </row>
    <row r="1796" spans="2:5" x14ac:dyDescent="0.25">
      <c r="B1796" s="119"/>
      <c r="C1796" s="8"/>
      <c r="D1796" s="23"/>
      <c r="E1796" s="23"/>
    </row>
    <row r="1797" spans="2:5" x14ac:dyDescent="0.25">
      <c r="B1797" s="119"/>
      <c r="C1797" s="8"/>
      <c r="D1797" s="23"/>
      <c r="E1797" s="23"/>
    </row>
    <row r="1798" spans="2:5" x14ac:dyDescent="0.25">
      <c r="B1798" s="119"/>
      <c r="C1798" s="8"/>
      <c r="D1798" s="23"/>
      <c r="E1798" s="23"/>
    </row>
    <row r="1799" spans="2:5" x14ac:dyDescent="0.25">
      <c r="B1799" s="119"/>
      <c r="C1799" s="8"/>
      <c r="D1799" s="23"/>
      <c r="E1799" s="23"/>
    </row>
    <row r="1800" spans="2:5" x14ac:dyDescent="0.25">
      <c r="B1800" s="119"/>
      <c r="C1800" s="8"/>
      <c r="D1800" s="23"/>
      <c r="E1800" s="23"/>
    </row>
    <row r="1801" spans="2:5" x14ac:dyDescent="0.25">
      <c r="B1801" s="119"/>
      <c r="C1801" s="8"/>
      <c r="D1801" s="23"/>
      <c r="E1801" s="23"/>
    </row>
    <row r="1802" spans="2:5" x14ac:dyDescent="0.25">
      <c r="B1802" s="119"/>
      <c r="C1802" s="8"/>
      <c r="D1802" s="23"/>
      <c r="E1802" s="23"/>
    </row>
    <row r="1803" spans="2:5" x14ac:dyDescent="0.25">
      <c r="B1803" s="119"/>
      <c r="C1803" s="8"/>
      <c r="D1803" s="23"/>
      <c r="E1803" s="23"/>
    </row>
    <row r="1804" spans="2:5" x14ac:dyDescent="0.25">
      <c r="B1804" s="119"/>
      <c r="C1804" s="8"/>
      <c r="D1804" s="23"/>
      <c r="E1804" s="23"/>
    </row>
    <row r="1805" spans="2:5" x14ac:dyDescent="0.25">
      <c r="B1805" s="119"/>
      <c r="C1805" s="8"/>
      <c r="D1805" s="23"/>
      <c r="E1805" s="23"/>
    </row>
    <row r="1806" spans="2:5" x14ac:dyDescent="0.25">
      <c r="B1806" s="119"/>
      <c r="C1806" s="8"/>
      <c r="D1806" s="23"/>
      <c r="E1806" s="23"/>
    </row>
    <row r="1807" spans="2:5" x14ac:dyDescent="0.25">
      <c r="B1807" s="119"/>
      <c r="C1807" s="8"/>
      <c r="D1807" s="23"/>
      <c r="E1807" s="23"/>
    </row>
    <row r="1808" spans="2:5" x14ac:dyDescent="0.25">
      <c r="B1808" s="119"/>
      <c r="C1808" s="8"/>
      <c r="D1808" s="23"/>
      <c r="E1808" s="23"/>
    </row>
    <row r="1809" spans="2:5" x14ac:dyDescent="0.25">
      <c r="B1809" s="119"/>
      <c r="C1809" s="8"/>
      <c r="D1809" s="23"/>
      <c r="E1809" s="23"/>
    </row>
    <row r="1810" spans="2:5" x14ac:dyDescent="0.25">
      <c r="B1810" s="119"/>
      <c r="C1810" s="8"/>
      <c r="D1810" s="23"/>
      <c r="E1810" s="23"/>
    </row>
    <row r="1811" spans="2:5" x14ac:dyDescent="0.25">
      <c r="B1811" s="119"/>
      <c r="C1811" s="8"/>
      <c r="D1811" s="23"/>
      <c r="E1811" s="23"/>
    </row>
    <row r="1812" spans="2:5" x14ac:dyDescent="0.25">
      <c r="B1812" s="119"/>
      <c r="C1812" s="8"/>
      <c r="D1812" s="23"/>
      <c r="E1812" s="23"/>
    </row>
    <row r="1813" spans="2:5" x14ac:dyDescent="0.25">
      <c r="B1813" s="119"/>
      <c r="C1813" s="8"/>
      <c r="D1813" s="23"/>
      <c r="E1813" s="23"/>
    </row>
    <row r="1814" spans="2:5" x14ac:dyDescent="0.25">
      <c r="B1814" s="119"/>
      <c r="C1814" s="8"/>
      <c r="D1814" s="23"/>
      <c r="E1814" s="23"/>
    </row>
    <row r="1815" spans="2:5" x14ac:dyDescent="0.25">
      <c r="B1815" s="119"/>
      <c r="C1815" s="8"/>
      <c r="D1815" s="23"/>
      <c r="E1815" s="23"/>
    </row>
    <row r="1816" spans="2:5" x14ac:dyDescent="0.25">
      <c r="B1816" s="119"/>
      <c r="C1816" s="8"/>
      <c r="D1816" s="23"/>
      <c r="E1816" s="23"/>
    </row>
    <row r="1817" spans="2:5" x14ac:dyDescent="0.25">
      <c r="B1817" s="119"/>
      <c r="C1817" s="8"/>
      <c r="D1817" s="23"/>
      <c r="E1817" s="23"/>
    </row>
    <row r="1818" spans="2:5" x14ac:dyDescent="0.25">
      <c r="B1818" s="119"/>
      <c r="C1818" s="8"/>
      <c r="D1818" s="23"/>
      <c r="E1818" s="23"/>
    </row>
    <row r="1819" spans="2:5" x14ac:dyDescent="0.25">
      <c r="B1819" s="119"/>
      <c r="C1819" s="8"/>
      <c r="D1819" s="23"/>
      <c r="E1819" s="23"/>
    </row>
    <row r="1820" spans="2:5" x14ac:dyDescent="0.25">
      <c r="B1820" s="119"/>
      <c r="C1820" s="8"/>
      <c r="D1820" s="23"/>
      <c r="E1820" s="23"/>
    </row>
    <row r="1821" spans="2:5" x14ac:dyDescent="0.25">
      <c r="B1821" s="119"/>
      <c r="C1821" s="8"/>
      <c r="D1821" s="23"/>
      <c r="E1821" s="23"/>
    </row>
    <row r="1822" spans="2:5" x14ac:dyDescent="0.25">
      <c r="B1822" s="119"/>
      <c r="C1822" s="8"/>
      <c r="D1822" s="23"/>
      <c r="E1822" s="23"/>
    </row>
    <row r="1823" spans="2:5" x14ac:dyDescent="0.25">
      <c r="B1823" s="119"/>
      <c r="C1823" s="8"/>
      <c r="D1823" s="23"/>
      <c r="E1823" s="23"/>
    </row>
    <row r="1824" spans="2:5" x14ac:dyDescent="0.25">
      <c r="B1824" s="119"/>
      <c r="C1824" s="8"/>
      <c r="D1824" s="23"/>
      <c r="E1824" s="23"/>
    </row>
    <row r="1825" spans="2:5" x14ac:dyDescent="0.25">
      <c r="B1825" s="119"/>
      <c r="C1825" s="8"/>
      <c r="D1825" s="23"/>
      <c r="E1825" s="23"/>
    </row>
    <row r="1826" spans="2:5" x14ac:dyDescent="0.25">
      <c r="B1826" s="119"/>
      <c r="C1826" s="8"/>
      <c r="D1826" s="23"/>
      <c r="E1826" s="23"/>
    </row>
    <row r="1827" spans="2:5" x14ac:dyDescent="0.25">
      <c r="B1827" s="119"/>
      <c r="C1827" s="8"/>
      <c r="D1827" s="23"/>
      <c r="E1827" s="23"/>
    </row>
    <row r="1828" spans="2:5" x14ac:dyDescent="0.25">
      <c r="B1828" s="119"/>
      <c r="C1828" s="8"/>
      <c r="D1828" s="23"/>
      <c r="E1828" s="23"/>
    </row>
    <row r="1829" spans="2:5" x14ac:dyDescent="0.25">
      <c r="B1829" s="119"/>
      <c r="C1829" s="8"/>
      <c r="D1829" s="23"/>
      <c r="E1829" s="23"/>
    </row>
    <row r="1830" spans="2:5" x14ac:dyDescent="0.25">
      <c r="B1830" s="119"/>
      <c r="C1830" s="8"/>
      <c r="D1830" s="23"/>
      <c r="E1830" s="23"/>
    </row>
    <row r="1831" spans="2:5" x14ac:dyDescent="0.25">
      <c r="B1831" s="119"/>
      <c r="C1831" s="8"/>
      <c r="D1831" s="23"/>
      <c r="E1831" s="23"/>
    </row>
    <row r="1832" spans="2:5" x14ac:dyDescent="0.25">
      <c r="B1832" s="119"/>
      <c r="C1832" s="8"/>
      <c r="D1832" s="23"/>
      <c r="E1832" s="23"/>
    </row>
    <row r="1833" spans="2:5" x14ac:dyDescent="0.25">
      <c r="B1833" s="119"/>
      <c r="C1833" s="8"/>
      <c r="D1833" s="23"/>
      <c r="E1833" s="23"/>
    </row>
    <row r="1834" spans="2:5" x14ac:dyDescent="0.25">
      <c r="B1834" s="119"/>
      <c r="C1834" s="8"/>
      <c r="D1834" s="23"/>
      <c r="E1834" s="23"/>
    </row>
    <row r="1835" spans="2:5" x14ac:dyDescent="0.25">
      <c r="B1835" s="119"/>
      <c r="C1835" s="8"/>
      <c r="D1835" s="23"/>
      <c r="E1835" s="23"/>
    </row>
    <row r="1836" spans="2:5" x14ac:dyDescent="0.25">
      <c r="B1836" s="119"/>
      <c r="C1836" s="8"/>
      <c r="D1836" s="23"/>
      <c r="E1836" s="23"/>
    </row>
    <row r="1837" spans="2:5" x14ac:dyDescent="0.25">
      <c r="B1837" s="119"/>
      <c r="C1837" s="8"/>
      <c r="D1837" s="23"/>
      <c r="E1837" s="23"/>
    </row>
    <row r="1838" spans="2:5" x14ac:dyDescent="0.25">
      <c r="B1838" s="119"/>
      <c r="C1838" s="8"/>
      <c r="D1838" s="23"/>
      <c r="E1838" s="23"/>
    </row>
    <row r="1839" spans="2:5" x14ac:dyDescent="0.25">
      <c r="B1839" s="119"/>
      <c r="C1839" s="8"/>
      <c r="D1839" s="23"/>
      <c r="E1839" s="23"/>
    </row>
    <row r="1840" spans="2:5" x14ac:dyDescent="0.25">
      <c r="B1840" s="119"/>
      <c r="C1840" s="8"/>
      <c r="D1840" s="23"/>
      <c r="E1840" s="23"/>
    </row>
    <row r="1841" spans="2:5" x14ac:dyDescent="0.25">
      <c r="B1841" s="119"/>
      <c r="C1841" s="8"/>
      <c r="D1841" s="23"/>
      <c r="E1841" s="23"/>
    </row>
    <row r="1842" spans="2:5" x14ac:dyDescent="0.25">
      <c r="B1842" s="119"/>
      <c r="C1842" s="8"/>
      <c r="D1842" s="23"/>
      <c r="E1842" s="23"/>
    </row>
    <row r="1843" spans="2:5" x14ac:dyDescent="0.25">
      <c r="B1843" s="119"/>
      <c r="C1843" s="8"/>
      <c r="D1843" s="23"/>
      <c r="E1843" s="23"/>
    </row>
    <row r="1844" spans="2:5" x14ac:dyDescent="0.25">
      <c r="B1844" s="119"/>
      <c r="C1844" s="8"/>
      <c r="D1844" s="23"/>
      <c r="E1844" s="23"/>
    </row>
    <row r="1845" spans="2:5" x14ac:dyDescent="0.25">
      <c r="B1845" s="119"/>
      <c r="C1845" s="8"/>
      <c r="D1845" s="23"/>
      <c r="E1845" s="23"/>
    </row>
    <row r="1846" spans="2:5" x14ac:dyDescent="0.25">
      <c r="B1846" s="119"/>
      <c r="C1846" s="8"/>
      <c r="D1846" s="23"/>
      <c r="E1846" s="23"/>
    </row>
    <row r="1847" spans="2:5" x14ac:dyDescent="0.25">
      <c r="B1847" s="119"/>
      <c r="C1847" s="8"/>
      <c r="D1847" s="23"/>
      <c r="E1847" s="23"/>
    </row>
    <row r="1848" spans="2:5" x14ac:dyDescent="0.25">
      <c r="B1848" s="119"/>
      <c r="C1848" s="8"/>
      <c r="D1848" s="23"/>
      <c r="E1848" s="23"/>
    </row>
    <row r="1849" spans="2:5" x14ac:dyDescent="0.25">
      <c r="B1849" s="119"/>
      <c r="C1849" s="8"/>
      <c r="D1849" s="23"/>
      <c r="E1849" s="23"/>
    </row>
    <row r="1850" spans="2:5" x14ac:dyDescent="0.25">
      <c r="B1850" s="119"/>
      <c r="C1850" s="8"/>
      <c r="D1850" s="23"/>
      <c r="E1850" s="23"/>
    </row>
    <row r="1851" spans="2:5" x14ac:dyDescent="0.25">
      <c r="B1851" s="119"/>
      <c r="C1851" s="8"/>
      <c r="D1851" s="23"/>
      <c r="E1851" s="23"/>
    </row>
    <row r="1852" spans="2:5" x14ac:dyDescent="0.25">
      <c r="B1852" s="119"/>
      <c r="C1852" s="8"/>
      <c r="D1852" s="23"/>
      <c r="E1852" s="23"/>
    </row>
    <row r="1853" spans="2:5" x14ac:dyDescent="0.25">
      <c r="B1853" s="119"/>
      <c r="C1853" s="8"/>
      <c r="D1853" s="23"/>
      <c r="E1853" s="23"/>
    </row>
    <row r="1854" spans="2:5" x14ac:dyDescent="0.25">
      <c r="B1854" s="119"/>
      <c r="C1854" s="8"/>
      <c r="D1854" s="23"/>
      <c r="E1854" s="23"/>
    </row>
    <row r="1855" spans="2:5" x14ac:dyDescent="0.25">
      <c r="B1855" s="119"/>
      <c r="C1855" s="8"/>
      <c r="D1855" s="23"/>
      <c r="E1855" s="23"/>
    </row>
    <row r="1856" spans="2:5" x14ac:dyDescent="0.25">
      <c r="B1856" s="119"/>
      <c r="C1856" s="8"/>
      <c r="D1856" s="23"/>
      <c r="E1856" s="23"/>
    </row>
    <row r="1857" spans="2:5" x14ac:dyDescent="0.25">
      <c r="B1857" s="119"/>
      <c r="C1857" s="8"/>
      <c r="D1857" s="23"/>
      <c r="E1857" s="23"/>
    </row>
    <row r="1858" spans="2:5" x14ac:dyDescent="0.25">
      <c r="B1858" s="119"/>
      <c r="C1858" s="8"/>
      <c r="D1858" s="23"/>
      <c r="E1858" s="23"/>
    </row>
    <row r="1859" spans="2:5" x14ac:dyDescent="0.25">
      <c r="B1859" s="119"/>
      <c r="C1859" s="8"/>
      <c r="D1859" s="23"/>
      <c r="E1859" s="23"/>
    </row>
    <row r="1860" spans="2:5" x14ac:dyDescent="0.25">
      <c r="B1860" s="119"/>
      <c r="C1860" s="8"/>
      <c r="D1860" s="23"/>
      <c r="E1860" s="23"/>
    </row>
    <row r="1861" spans="2:5" x14ac:dyDescent="0.25">
      <c r="B1861" s="119"/>
      <c r="C1861" s="8"/>
      <c r="D1861" s="23"/>
      <c r="E1861" s="23"/>
    </row>
    <row r="1862" spans="2:5" x14ac:dyDescent="0.25">
      <c r="B1862" s="119"/>
      <c r="C1862" s="8"/>
      <c r="D1862" s="23"/>
      <c r="E1862" s="23"/>
    </row>
    <row r="1863" spans="2:5" x14ac:dyDescent="0.25">
      <c r="B1863" s="119"/>
      <c r="C1863" s="8"/>
      <c r="D1863" s="23"/>
      <c r="E1863" s="23"/>
    </row>
    <row r="1864" spans="2:5" x14ac:dyDescent="0.25">
      <c r="B1864" s="119"/>
      <c r="C1864" s="8"/>
      <c r="D1864" s="23"/>
      <c r="E1864" s="23"/>
    </row>
    <row r="1865" spans="2:5" x14ac:dyDescent="0.25">
      <c r="B1865" s="119"/>
      <c r="C1865" s="8"/>
      <c r="D1865" s="23"/>
      <c r="E1865" s="23"/>
    </row>
    <row r="1866" spans="2:5" x14ac:dyDescent="0.25">
      <c r="B1866" s="119"/>
      <c r="C1866" s="8"/>
      <c r="D1866" s="23"/>
      <c r="E1866" s="23"/>
    </row>
    <row r="1867" spans="2:5" x14ac:dyDescent="0.25">
      <c r="B1867" s="119"/>
      <c r="C1867" s="8"/>
      <c r="D1867" s="23"/>
      <c r="E1867" s="23"/>
    </row>
    <row r="1868" spans="2:5" x14ac:dyDescent="0.25">
      <c r="B1868" s="119"/>
      <c r="C1868" s="8"/>
      <c r="D1868" s="23"/>
      <c r="E1868" s="23"/>
    </row>
    <row r="1869" spans="2:5" x14ac:dyDescent="0.25">
      <c r="B1869" s="119"/>
      <c r="C1869" s="8"/>
      <c r="D1869" s="23"/>
      <c r="E1869" s="23"/>
    </row>
    <row r="1870" spans="2:5" x14ac:dyDescent="0.25">
      <c r="B1870" s="119"/>
      <c r="C1870" s="8"/>
      <c r="D1870" s="23"/>
      <c r="E1870" s="23"/>
    </row>
    <row r="1871" spans="2:5" x14ac:dyDescent="0.25">
      <c r="B1871" s="119"/>
      <c r="C1871" s="8"/>
      <c r="D1871" s="23"/>
      <c r="E1871" s="23"/>
    </row>
    <row r="1872" spans="2:5" x14ac:dyDescent="0.25">
      <c r="B1872" s="119"/>
      <c r="C1872" s="8"/>
      <c r="D1872" s="23"/>
      <c r="E1872" s="23"/>
    </row>
    <row r="1873" spans="2:5" x14ac:dyDescent="0.25">
      <c r="B1873" s="119"/>
      <c r="C1873" s="8"/>
      <c r="D1873" s="23"/>
      <c r="E1873" s="23"/>
    </row>
    <row r="1874" spans="2:5" x14ac:dyDescent="0.25">
      <c r="B1874" s="119"/>
      <c r="C1874" s="8"/>
      <c r="D1874" s="23"/>
      <c r="E1874" s="23"/>
    </row>
    <row r="1875" spans="2:5" x14ac:dyDescent="0.25">
      <c r="B1875" s="119"/>
      <c r="C1875" s="8"/>
      <c r="D1875" s="23"/>
      <c r="E1875" s="23"/>
    </row>
    <row r="1876" spans="2:5" x14ac:dyDescent="0.25">
      <c r="B1876" s="119"/>
      <c r="C1876" s="8"/>
      <c r="D1876" s="23"/>
      <c r="E1876" s="23"/>
    </row>
    <row r="1877" spans="2:5" x14ac:dyDescent="0.25">
      <c r="B1877" s="119"/>
      <c r="C1877" s="8"/>
      <c r="D1877" s="23"/>
      <c r="E1877" s="23"/>
    </row>
    <row r="1878" spans="2:5" x14ac:dyDescent="0.25">
      <c r="B1878" s="119"/>
      <c r="C1878" s="8"/>
      <c r="D1878" s="23"/>
      <c r="E1878" s="23"/>
    </row>
    <row r="1879" spans="2:5" x14ac:dyDescent="0.25">
      <c r="B1879" s="119"/>
      <c r="C1879" s="8"/>
      <c r="D1879" s="23"/>
      <c r="E1879" s="23"/>
    </row>
    <row r="1880" spans="2:5" x14ac:dyDescent="0.25">
      <c r="B1880" s="119"/>
      <c r="C1880" s="8"/>
      <c r="D1880" s="23"/>
      <c r="E1880" s="23"/>
    </row>
    <row r="1881" spans="2:5" x14ac:dyDescent="0.25">
      <c r="B1881" s="119"/>
      <c r="C1881" s="8"/>
      <c r="D1881" s="23"/>
      <c r="E1881" s="23"/>
    </row>
    <row r="1882" spans="2:5" x14ac:dyDescent="0.25">
      <c r="B1882" s="119"/>
      <c r="C1882" s="8"/>
      <c r="D1882" s="23"/>
      <c r="E1882" s="23"/>
    </row>
    <row r="1883" spans="2:5" x14ac:dyDescent="0.25">
      <c r="B1883" s="119"/>
      <c r="C1883" s="8"/>
      <c r="D1883" s="23"/>
      <c r="E1883" s="23"/>
    </row>
    <row r="1884" spans="2:5" x14ac:dyDescent="0.25">
      <c r="B1884" s="119"/>
      <c r="C1884" s="8"/>
      <c r="D1884" s="23"/>
      <c r="E1884" s="23"/>
    </row>
    <row r="1885" spans="2:5" x14ac:dyDescent="0.25">
      <c r="B1885" s="119"/>
      <c r="C1885" s="8"/>
      <c r="D1885" s="23"/>
      <c r="E1885" s="23"/>
    </row>
    <row r="1886" spans="2:5" x14ac:dyDescent="0.25">
      <c r="B1886" s="119"/>
      <c r="C1886" s="8"/>
      <c r="D1886" s="23"/>
      <c r="E1886" s="23"/>
    </row>
    <row r="1887" spans="2:5" x14ac:dyDescent="0.25">
      <c r="B1887" s="119"/>
      <c r="C1887" s="8"/>
      <c r="D1887" s="23"/>
      <c r="E1887" s="23"/>
    </row>
    <row r="1888" spans="2:5" x14ac:dyDescent="0.25">
      <c r="B1888" s="119"/>
      <c r="C1888" s="8"/>
      <c r="D1888" s="23"/>
      <c r="E1888" s="23"/>
    </row>
    <row r="1889" spans="2:5" x14ac:dyDescent="0.25">
      <c r="B1889" s="119"/>
      <c r="C1889" s="8"/>
      <c r="D1889" s="23"/>
      <c r="E1889" s="23"/>
    </row>
    <row r="1890" spans="2:5" x14ac:dyDescent="0.25">
      <c r="B1890" s="119"/>
      <c r="C1890" s="8"/>
      <c r="D1890" s="23"/>
      <c r="E1890" s="23"/>
    </row>
    <row r="1891" spans="2:5" x14ac:dyDescent="0.25">
      <c r="B1891" s="119"/>
      <c r="C1891" s="8"/>
      <c r="D1891" s="23"/>
      <c r="E1891" s="23"/>
    </row>
    <row r="1892" spans="2:5" x14ac:dyDescent="0.25">
      <c r="B1892" s="119"/>
      <c r="C1892" s="8"/>
      <c r="D1892" s="23"/>
      <c r="E1892" s="23"/>
    </row>
    <row r="1893" spans="2:5" x14ac:dyDescent="0.25">
      <c r="B1893" s="119"/>
      <c r="C1893" s="8"/>
      <c r="D1893" s="23"/>
      <c r="E1893" s="23"/>
    </row>
    <row r="1894" spans="2:5" x14ac:dyDescent="0.25">
      <c r="B1894" s="119"/>
      <c r="C1894" s="8"/>
      <c r="D1894" s="23"/>
      <c r="E1894" s="23"/>
    </row>
    <row r="1895" spans="2:5" x14ac:dyDescent="0.25">
      <c r="B1895" s="119"/>
      <c r="C1895" s="8"/>
      <c r="D1895" s="23"/>
      <c r="E1895" s="23"/>
    </row>
    <row r="1896" spans="2:5" x14ac:dyDescent="0.25">
      <c r="B1896" s="119"/>
      <c r="C1896" s="8"/>
      <c r="D1896" s="23"/>
      <c r="E1896" s="23"/>
    </row>
    <row r="1897" spans="2:5" x14ac:dyDescent="0.25">
      <c r="B1897" s="119"/>
      <c r="C1897" s="8"/>
      <c r="D1897" s="23"/>
      <c r="E1897" s="23"/>
    </row>
    <row r="1898" spans="2:5" x14ac:dyDescent="0.25">
      <c r="B1898" s="119"/>
      <c r="C1898" s="8"/>
      <c r="D1898" s="23"/>
      <c r="E1898" s="23"/>
    </row>
    <row r="1899" spans="2:5" x14ac:dyDescent="0.25">
      <c r="B1899" s="119"/>
      <c r="C1899" s="8"/>
      <c r="D1899" s="23"/>
      <c r="E1899" s="23"/>
    </row>
    <row r="1900" spans="2:5" x14ac:dyDescent="0.25">
      <c r="B1900" s="119"/>
      <c r="C1900" s="8"/>
      <c r="D1900" s="23"/>
      <c r="E1900" s="23"/>
    </row>
    <row r="1901" spans="2:5" x14ac:dyDescent="0.25">
      <c r="B1901" s="119"/>
      <c r="C1901" s="8"/>
      <c r="D1901" s="23"/>
      <c r="E1901" s="23"/>
    </row>
    <row r="1902" spans="2:5" x14ac:dyDescent="0.25">
      <c r="B1902" s="119"/>
      <c r="C1902" s="8"/>
      <c r="D1902" s="23"/>
      <c r="E1902" s="23"/>
    </row>
    <row r="1903" spans="2:5" x14ac:dyDescent="0.25">
      <c r="B1903" s="119"/>
      <c r="C1903" s="8"/>
      <c r="D1903" s="23"/>
      <c r="E1903" s="23"/>
    </row>
    <row r="1904" spans="2:5" x14ac:dyDescent="0.25">
      <c r="B1904" s="119"/>
      <c r="C1904" s="8"/>
      <c r="D1904" s="23"/>
      <c r="E1904" s="23"/>
    </row>
    <row r="1905" spans="2:5" x14ac:dyDescent="0.25">
      <c r="B1905" s="119"/>
      <c r="C1905" s="8"/>
      <c r="D1905" s="23"/>
      <c r="E1905" s="23"/>
    </row>
    <row r="1906" spans="2:5" x14ac:dyDescent="0.25">
      <c r="B1906" s="119"/>
      <c r="C1906" s="8"/>
      <c r="D1906" s="23"/>
      <c r="E1906" s="23"/>
    </row>
    <row r="1907" spans="2:5" x14ac:dyDescent="0.25">
      <c r="B1907" s="119"/>
      <c r="C1907" s="8"/>
      <c r="D1907" s="23"/>
      <c r="E1907" s="23"/>
    </row>
    <row r="1908" spans="2:5" x14ac:dyDescent="0.25">
      <c r="B1908" s="119"/>
      <c r="C1908" s="8"/>
      <c r="D1908" s="23"/>
      <c r="E1908" s="23"/>
    </row>
    <row r="1909" spans="2:5" x14ac:dyDescent="0.25">
      <c r="B1909" s="119"/>
      <c r="C1909" s="8"/>
      <c r="D1909" s="23"/>
      <c r="E1909" s="23"/>
    </row>
    <row r="1910" spans="2:5" x14ac:dyDescent="0.25">
      <c r="B1910" s="119"/>
      <c r="C1910" s="8"/>
      <c r="D1910" s="23"/>
      <c r="E1910" s="23"/>
    </row>
    <row r="1911" spans="2:5" x14ac:dyDescent="0.25">
      <c r="B1911" s="119"/>
      <c r="C1911" s="8"/>
      <c r="D1911" s="23"/>
      <c r="E1911" s="23"/>
    </row>
    <row r="1912" spans="2:5" x14ac:dyDescent="0.25">
      <c r="B1912" s="119"/>
      <c r="C1912" s="8"/>
      <c r="D1912" s="23"/>
      <c r="E1912" s="23"/>
    </row>
    <row r="1913" spans="2:5" x14ac:dyDescent="0.25">
      <c r="B1913" s="119"/>
      <c r="C1913" s="8"/>
      <c r="D1913" s="23"/>
      <c r="E1913" s="23"/>
    </row>
    <row r="1914" spans="2:5" x14ac:dyDescent="0.25">
      <c r="B1914" s="119"/>
      <c r="C1914" s="8"/>
      <c r="D1914" s="23"/>
      <c r="E1914" s="23"/>
    </row>
    <row r="1915" spans="2:5" x14ac:dyDescent="0.25">
      <c r="B1915" s="119"/>
      <c r="C1915" s="8"/>
      <c r="D1915" s="23"/>
      <c r="E1915" s="23"/>
    </row>
    <row r="1916" spans="2:5" x14ac:dyDescent="0.25">
      <c r="B1916" s="119"/>
      <c r="C1916" s="8"/>
      <c r="D1916" s="23"/>
      <c r="E1916" s="23"/>
    </row>
    <row r="1917" spans="2:5" x14ac:dyDescent="0.25">
      <c r="B1917" s="119"/>
      <c r="C1917" s="8"/>
      <c r="D1917" s="23"/>
      <c r="E1917" s="23"/>
    </row>
    <row r="1918" spans="2:5" x14ac:dyDescent="0.25">
      <c r="B1918" s="119"/>
      <c r="C1918" s="8"/>
      <c r="D1918" s="23"/>
      <c r="E1918" s="23"/>
    </row>
    <row r="1919" spans="2:5" x14ac:dyDescent="0.25">
      <c r="B1919" s="119"/>
      <c r="C1919" s="8"/>
      <c r="D1919" s="23"/>
      <c r="E1919" s="23"/>
    </row>
    <row r="1920" spans="2:5" x14ac:dyDescent="0.25">
      <c r="B1920" s="119"/>
      <c r="C1920" s="8"/>
      <c r="D1920" s="23"/>
      <c r="E1920" s="23"/>
    </row>
    <row r="1921" spans="2:5" x14ac:dyDescent="0.25">
      <c r="B1921" s="119"/>
      <c r="C1921" s="8"/>
      <c r="D1921" s="23"/>
      <c r="E1921" s="23"/>
    </row>
    <row r="1922" spans="2:5" x14ac:dyDescent="0.25">
      <c r="B1922" s="119"/>
      <c r="C1922" s="8"/>
      <c r="D1922" s="23"/>
      <c r="E1922" s="23"/>
    </row>
    <row r="1923" spans="2:5" x14ac:dyDescent="0.25">
      <c r="B1923" s="119"/>
      <c r="C1923" s="8"/>
      <c r="D1923" s="23"/>
      <c r="E1923" s="23"/>
    </row>
    <row r="1924" spans="2:5" x14ac:dyDescent="0.25">
      <c r="B1924" s="119"/>
      <c r="C1924" s="8"/>
      <c r="D1924" s="23"/>
      <c r="E1924" s="23"/>
    </row>
    <row r="1925" spans="2:5" x14ac:dyDescent="0.25">
      <c r="B1925" s="119"/>
      <c r="C1925" s="8"/>
      <c r="D1925" s="23"/>
      <c r="E1925" s="23"/>
    </row>
    <row r="1926" spans="2:5" x14ac:dyDescent="0.25">
      <c r="B1926" s="119"/>
      <c r="C1926" s="8"/>
      <c r="D1926" s="23"/>
      <c r="E1926" s="23"/>
    </row>
    <row r="1927" spans="2:5" x14ac:dyDescent="0.25">
      <c r="B1927" s="119"/>
      <c r="C1927" s="8"/>
      <c r="D1927" s="23"/>
      <c r="E1927" s="23"/>
    </row>
    <row r="1928" spans="2:5" x14ac:dyDescent="0.25">
      <c r="B1928" s="119"/>
      <c r="C1928" s="8"/>
      <c r="D1928" s="23"/>
      <c r="E1928" s="23"/>
    </row>
    <row r="1929" spans="2:5" x14ac:dyDescent="0.25">
      <c r="B1929" s="119"/>
      <c r="C1929" s="8"/>
      <c r="D1929" s="23"/>
      <c r="E1929" s="23"/>
    </row>
    <row r="1930" spans="2:5" x14ac:dyDescent="0.25">
      <c r="B1930" s="119"/>
      <c r="C1930" s="8"/>
      <c r="D1930" s="23"/>
      <c r="E1930" s="23"/>
    </row>
    <row r="1931" spans="2:5" x14ac:dyDescent="0.25">
      <c r="B1931" s="119"/>
      <c r="C1931" s="8"/>
      <c r="D1931" s="23"/>
      <c r="E1931" s="23"/>
    </row>
    <row r="1932" spans="2:5" x14ac:dyDescent="0.25">
      <c r="B1932" s="119"/>
      <c r="C1932" s="8"/>
      <c r="D1932" s="23"/>
      <c r="E1932" s="23"/>
    </row>
    <row r="1933" spans="2:5" x14ac:dyDescent="0.25">
      <c r="B1933" s="119"/>
      <c r="C1933" s="8"/>
      <c r="D1933" s="23"/>
      <c r="E1933" s="23"/>
    </row>
    <row r="1934" spans="2:5" x14ac:dyDescent="0.25">
      <c r="B1934" s="119"/>
      <c r="C1934" s="8"/>
      <c r="D1934" s="23"/>
      <c r="E1934" s="23"/>
    </row>
    <row r="1935" spans="2:5" x14ac:dyDescent="0.25">
      <c r="B1935" s="119"/>
      <c r="C1935" s="8"/>
      <c r="D1935" s="23"/>
      <c r="E1935" s="23"/>
    </row>
    <row r="1936" spans="2:5" x14ac:dyDescent="0.25">
      <c r="B1936" s="119"/>
      <c r="C1936" s="8"/>
      <c r="D1936" s="23"/>
      <c r="E1936" s="23"/>
    </row>
    <row r="1937" spans="2:5" x14ac:dyDescent="0.25">
      <c r="B1937" s="119"/>
      <c r="C1937" s="8"/>
      <c r="D1937" s="23"/>
      <c r="E1937" s="23"/>
    </row>
    <row r="1938" spans="2:5" x14ac:dyDescent="0.25">
      <c r="B1938" s="119"/>
      <c r="C1938" s="8"/>
      <c r="D1938" s="23"/>
      <c r="E1938" s="23"/>
    </row>
    <row r="1939" spans="2:5" x14ac:dyDescent="0.25">
      <c r="B1939" s="119"/>
      <c r="C1939" s="8"/>
      <c r="D1939" s="23"/>
      <c r="E1939" s="23"/>
    </row>
    <row r="1940" spans="2:5" x14ac:dyDescent="0.25">
      <c r="B1940" s="119"/>
      <c r="C1940" s="8"/>
      <c r="D1940" s="23"/>
      <c r="E1940" s="23"/>
    </row>
    <row r="1941" spans="2:5" x14ac:dyDescent="0.25">
      <c r="B1941" s="119"/>
      <c r="C1941" s="8"/>
      <c r="D1941" s="23"/>
      <c r="E1941" s="23"/>
    </row>
    <row r="1942" spans="2:5" x14ac:dyDescent="0.25">
      <c r="B1942" s="119"/>
      <c r="C1942" s="8"/>
      <c r="D1942" s="23"/>
      <c r="E1942" s="23"/>
    </row>
    <row r="1943" spans="2:5" x14ac:dyDescent="0.25">
      <c r="B1943" s="119"/>
      <c r="C1943" s="8"/>
      <c r="D1943" s="23"/>
      <c r="E1943" s="23"/>
    </row>
    <row r="1944" spans="2:5" x14ac:dyDescent="0.25">
      <c r="B1944" s="119"/>
      <c r="C1944" s="8"/>
      <c r="D1944" s="23"/>
      <c r="E1944" s="23"/>
    </row>
    <row r="1945" spans="2:5" x14ac:dyDescent="0.25">
      <c r="B1945" s="119"/>
      <c r="C1945" s="8"/>
      <c r="D1945" s="23"/>
      <c r="E1945" s="23"/>
    </row>
    <row r="1946" spans="2:5" x14ac:dyDescent="0.25">
      <c r="B1946" s="119"/>
      <c r="C1946" s="8"/>
      <c r="D1946" s="23"/>
      <c r="E1946" s="23"/>
    </row>
    <row r="1947" spans="2:5" x14ac:dyDescent="0.25">
      <c r="B1947" s="119"/>
      <c r="C1947" s="8"/>
      <c r="D1947" s="23"/>
      <c r="E1947" s="23"/>
    </row>
    <row r="1948" spans="2:5" x14ac:dyDescent="0.25">
      <c r="B1948" s="119"/>
      <c r="C1948" s="8"/>
      <c r="D1948" s="23"/>
      <c r="E1948" s="23"/>
    </row>
    <row r="1949" spans="2:5" x14ac:dyDescent="0.25">
      <c r="B1949" s="119"/>
      <c r="C1949" s="8"/>
      <c r="D1949" s="23"/>
      <c r="E1949" s="23"/>
    </row>
    <row r="1950" spans="2:5" x14ac:dyDescent="0.25">
      <c r="B1950" s="119"/>
      <c r="C1950" s="8"/>
      <c r="D1950" s="23"/>
      <c r="E1950" s="23"/>
    </row>
    <row r="1951" spans="2:5" x14ac:dyDescent="0.25">
      <c r="B1951" s="119"/>
      <c r="C1951" s="8"/>
      <c r="D1951" s="23"/>
      <c r="E1951" s="23"/>
    </row>
    <row r="1952" spans="2:5" x14ac:dyDescent="0.25">
      <c r="B1952" s="119"/>
      <c r="C1952" s="8"/>
      <c r="D1952" s="23"/>
      <c r="E1952" s="23"/>
    </row>
    <row r="1953" spans="2:5" x14ac:dyDescent="0.25">
      <c r="B1953" s="119"/>
      <c r="C1953" s="8"/>
      <c r="D1953" s="23"/>
      <c r="E1953" s="23"/>
    </row>
    <row r="1954" spans="2:5" x14ac:dyDescent="0.25">
      <c r="B1954" s="119"/>
      <c r="C1954" s="8"/>
      <c r="D1954" s="23"/>
      <c r="E1954" s="23"/>
    </row>
    <row r="1955" spans="2:5" x14ac:dyDescent="0.25">
      <c r="B1955" s="119"/>
      <c r="C1955" s="8"/>
      <c r="D1955" s="23"/>
      <c r="E1955" s="23"/>
    </row>
    <row r="1956" spans="2:5" x14ac:dyDescent="0.25">
      <c r="B1956" s="119"/>
      <c r="C1956" s="8"/>
      <c r="D1956" s="23"/>
      <c r="E1956" s="23"/>
    </row>
    <row r="1957" spans="2:5" x14ac:dyDescent="0.25">
      <c r="B1957" s="119"/>
      <c r="C1957" s="8"/>
      <c r="D1957" s="23"/>
      <c r="E1957" s="23"/>
    </row>
    <row r="1958" spans="2:5" x14ac:dyDescent="0.25">
      <c r="B1958" s="119"/>
      <c r="C1958" s="8"/>
      <c r="D1958" s="23"/>
      <c r="E1958" s="23"/>
    </row>
    <row r="1959" spans="2:5" x14ac:dyDescent="0.25">
      <c r="B1959" s="119"/>
      <c r="C1959" s="8"/>
      <c r="D1959" s="23"/>
      <c r="E1959" s="23"/>
    </row>
    <row r="1960" spans="2:5" x14ac:dyDescent="0.25">
      <c r="B1960" s="119"/>
      <c r="C1960" s="8"/>
      <c r="D1960" s="23"/>
      <c r="E1960" s="23"/>
    </row>
    <row r="1961" spans="2:5" x14ac:dyDescent="0.25">
      <c r="B1961" s="119"/>
      <c r="C1961" s="8"/>
      <c r="D1961" s="23"/>
      <c r="E1961" s="23"/>
    </row>
    <row r="1962" spans="2:5" x14ac:dyDescent="0.25">
      <c r="B1962" s="119"/>
      <c r="C1962" s="8"/>
      <c r="D1962" s="23"/>
      <c r="E1962" s="23"/>
    </row>
    <row r="1963" spans="2:5" x14ac:dyDescent="0.25">
      <c r="B1963" s="119"/>
      <c r="C1963" s="8"/>
      <c r="D1963" s="23"/>
      <c r="E1963" s="23"/>
    </row>
    <row r="1964" spans="2:5" x14ac:dyDescent="0.25">
      <c r="B1964" s="119"/>
      <c r="C1964" s="8"/>
      <c r="D1964" s="23"/>
      <c r="E1964" s="23"/>
    </row>
    <row r="1965" spans="2:5" x14ac:dyDescent="0.25">
      <c r="B1965" s="119"/>
      <c r="C1965" s="8"/>
      <c r="D1965" s="23"/>
      <c r="E1965" s="23"/>
    </row>
    <row r="1966" spans="2:5" x14ac:dyDescent="0.25">
      <c r="B1966" s="119"/>
      <c r="C1966" s="8"/>
      <c r="D1966" s="23"/>
      <c r="E1966" s="23"/>
    </row>
    <row r="1967" spans="2:5" x14ac:dyDescent="0.25">
      <c r="B1967" s="119"/>
      <c r="C1967" s="8"/>
      <c r="D1967" s="23"/>
      <c r="E1967" s="23"/>
    </row>
    <row r="1968" spans="2:5" x14ac:dyDescent="0.25">
      <c r="B1968" s="119"/>
      <c r="C1968" s="8"/>
      <c r="D1968" s="23"/>
      <c r="E1968" s="23"/>
    </row>
    <row r="1969" spans="2:5" x14ac:dyDescent="0.25">
      <c r="B1969" s="119"/>
      <c r="C1969" s="8"/>
      <c r="D1969" s="23"/>
      <c r="E1969" s="23"/>
    </row>
    <row r="1970" spans="2:5" x14ac:dyDescent="0.25">
      <c r="B1970" s="119"/>
      <c r="C1970" s="8"/>
      <c r="D1970" s="23"/>
      <c r="E1970" s="23"/>
    </row>
    <row r="1971" spans="2:5" x14ac:dyDescent="0.25">
      <c r="B1971" s="119"/>
      <c r="C1971" s="8"/>
      <c r="D1971" s="23"/>
      <c r="E1971" s="23"/>
    </row>
    <row r="1972" spans="2:5" x14ac:dyDescent="0.25">
      <c r="B1972" s="119"/>
      <c r="C1972" s="8"/>
      <c r="D1972" s="23"/>
      <c r="E1972" s="23"/>
    </row>
    <row r="1973" spans="2:5" x14ac:dyDescent="0.25">
      <c r="B1973" s="119"/>
      <c r="C1973" s="8"/>
      <c r="D1973" s="23"/>
      <c r="E1973" s="23"/>
    </row>
    <row r="1974" spans="2:5" x14ac:dyDescent="0.25">
      <c r="B1974" s="119"/>
      <c r="C1974" s="8"/>
      <c r="D1974" s="23"/>
      <c r="E1974" s="23"/>
    </row>
    <row r="1975" spans="2:5" x14ac:dyDescent="0.25">
      <c r="B1975" s="119"/>
      <c r="C1975" s="8"/>
      <c r="D1975" s="23"/>
      <c r="E1975" s="23"/>
    </row>
    <row r="1976" spans="2:5" x14ac:dyDescent="0.25">
      <c r="B1976" s="119"/>
      <c r="C1976" s="8"/>
      <c r="D1976" s="23"/>
      <c r="E1976" s="23"/>
    </row>
    <row r="1977" spans="2:5" x14ac:dyDescent="0.25">
      <c r="B1977" s="119"/>
      <c r="C1977" s="8"/>
      <c r="D1977" s="23"/>
      <c r="E1977" s="23"/>
    </row>
    <row r="1978" spans="2:5" x14ac:dyDescent="0.25">
      <c r="B1978" s="119"/>
      <c r="C1978" s="8"/>
      <c r="D1978" s="23"/>
      <c r="E1978" s="23"/>
    </row>
    <row r="1979" spans="2:5" x14ac:dyDescent="0.25">
      <c r="B1979" s="119"/>
      <c r="C1979" s="8"/>
      <c r="D1979" s="23"/>
      <c r="E1979" s="23"/>
    </row>
    <row r="1980" spans="2:5" x14ac:dyDescent="0.25">
      <c r="B1980" s="119"/>
      <c r="C1980" s="8"/>
      <c r="D1980" s="23"/>
      <c r="E1980" s="23"/>
    </row>
    <row r="1981" spans="2:5" x14ac:dyDescent="0.25">
      <c r="B1981" s="119"/>
      <c r="C1981" s="8"/>
      <c r="D1981" s="23"/>
      <c r="E1981" s="23"/>
    </row>
    <row r="1982" spans="2:5" x14ac:dyDescent="0.25">
      <c r="B1982" s="119"/>
      <c r="C1982" s="8"/>
      <c r="D1982" s="23"/>
      <c r="E1982" s="23"/>
    </row>
    <row r="1983" spans="2:5" x14ac:dyDescent="0.25">
      <c r="B1983" s="119"/>
      <c r="C1983" s="8"/>
      <c r="D1983" s="23"/>
      <c r="E1983" s="23"/>
    </row>
    <row r="1984" spans="2:5" x14ac:dyDescent="0.25">
      <c r="B1984" s="119"/>
      <c r="C1984" s="8"/>
      <c r="D1984" s="23"/>
      <c r="E1984" s="23"/>
    </row>
    <row r="1985" spans="2:5" x14ac:dyDescent="0.25">
      <c r="B1985" s="119"/>
      <c r="C1985" s="8"/>
      <c r="D1985" s="23"/>
      <c r="E1985" s="23"/>
    </row>
    <row r="1986" spans="2:5" x14ac:dyDescent="0.25">
      <c r="B1986" s="119"/>
      <c r="C1986" s="8"/>
      <c r="D1986" s="23"/>
      <c r="E1986" s="23"/>
    </row>
    <row r="1987" spans="2:5" x14ac:dyDescent="0.25">
      <c r="B1987" s="119"/>
      <c r="C1987" s="8"/>
      <c r="D1987" s="23"/>
      <c r="E1987" s="23"/>
    </row>
    <row r="1988" spans="2:5" x14ac:dyDescent="0.25">
      <c r="B1988" s="119"/>
      <c r="C1988" s="8"/>
      <c r="D1988" s="23"/>
      <c r="E1988" s="23"/>
    </row>
    <row r="1989" spans="2:5" x14ac:dyDescent="0.25">
      <c r="B1989" s="119"/>
      <c r="C1989" s="8"/>
      <c r="D1989" s="23"/>
      <c r="E1989" s="23"/>
    </row>
    <row r="1990" spans="2:5" x14ac:dyDescent="0.25">
      <c r="B1990" s="119"/>
      <c r="C1990" s="8"/>
      <c r="D1990" s="23"/>
      <c r="E1990" s="23"/>
    </row>
    <row r="1991" spans="2:5" x14ac:dyDescent="0.25">
      <c r="B1991" s="119"/>
      <c r="C1991" s="8"/>
      <c r="D1991" s="23"/>
      <c r="E1991" s="23"/>
    </row>
    <row r="1992" spans="2:5" x14ac:dyDescent="0.25">
      <c r="B1992" s="119"/>
      <c r="C1992" s="8"/>
      <c r="D1992" s="23"/>
      <c r="E1992" s="23"/>
    </row>
    <row r="1993" spans="2:5" x14ac:dyDescent="0.25">
      <c r="B1993" s="119"/>
      <c r="C1993" s="8"/>
      <c r="D1993" s="23"/>
      <c r="E1993" s="23"/>
    </row>
    <row r="1994" spans="2:5" x14ac:dyDescent="0.25">
      <c r="B1994" s="119"/>
      <c r="C1994" s="8"/>
      <c r="D1994" s="23"/>
      <c r="E1994" s="23"/>
    </row>
    <row r="1995" spans="2:5" x14ac:dyDescent="0.25">
      <c r="B1995" s="119"/>
      <c r="C1995" s="8"/>
      <c r="D1995" s="23"/>
      <c r="E1995" s="23"/>
    </row>
    <row r="1996" spans="2:5" x14ac:dyDescent="0.25">
      <c r="B1996" s="119"/>
      <c r="C1996" s="8"/>
      <c r="D1996" s="23"/>
      <c r="E1996" s="23"/>
    </row>
    <row r="1997" spans="2:5" x14ac:dyDescent="0.25">
      <c r="B1997" s="119"/>
      <c r="C1997" s="8"/>
      <c r="D1997" s="23"/>
      <c r="E1997" s="23"/>
    </row>
    <row r="1998" spans="2:5" x14ac:dyDescent="0.25">
      <c r="B1998" s="119"/>
      <c r="C1998" s="8"/>
      <c r="D1998" s="23"/>
      <c r="E1998" s="23"/>
    </row>
    <row r="1999" spans="2:5" x14ac:dyDescent="0.25">
      <c r="B1999" s="119"/>
      <c r="C1999" s="8"/>
      <c r="D1999" s="23"/>
      <c r="E1999" s="23"/>
    </row>
    <row r="2000" spans="2:5" x14ac:dyDescent="0.25">
      <c r="B2000" s="119"/>
      <c r="C2000" s="8"/>
      <c r="D2000" s="23"/>
      <c r="E2000" s="23"/>
    </row>
    <row r="2001" spans="2:5" x14ac:dyDescent="0.25">
      <c r="B2001" s="119"/>
      <c r="C2001" s="8"/>
      <c r="D2001" s="23"/>
      <c r="E2001" s="23"/>
    </row>
    <row r="2002" spans="2:5" x14ac:dyDescent="0.25">
      <c r="B2002" s="119"/>
      <c r="C2002" s="8"/>
      <c r="D2002" s="23"/>
      <c r="E2002" s="23"/>
    </row>
    <row r="2003" spans="2:5" x14ac:dyDescent="0.25">
      <c r="B2003" s="119"/>
      <c r="C2003" s="8"/>
      <c r="D2003" s="23"/>
      <c r="E2003" s="23"/>
    </row>
    <row r="2004" spans="2:5" x14ac:dyDescent="0.25">
      <c r="B2004" s="119"/>
      <c r="C2004" s="8"/>
      <c r="D2004" s="23"/>
      <c r="E2004" s="23"/>
    </row>
    <row r="2005" spans="2:5" x14ac:dyDescent="0.25">
      <c r="B2005" s="119"/>
      <c r="C2005" s="8"/>
      <c r="D2005" s="23"/>
      <c r="E2005" s="23"/>
    </row>
    <row r="2006" spans="2:5" x14ac:dyDescent="0.25">
      <c r="B2006" s="119"/>
      <c r="C2006" s="8"/>
      <c r="D2006" s="23"/>
      <c r="E2006" s="23"/>
    </row>
    <row r="2007" spans="2:5" x14ac:dyDescent="0.25">
      <c r="B2007" s="119"/>
      <c r="C2007" s="8"/>
      <c r="D2007" s="23"/>
      <c r="E2007" s="23"/>
    </row>
    <row r="2008" spans="2:5" x14ac:dyDescent="0.25">
      <c r="B2008" s="119"/>
      <c r="C2008" s="8"/>
      <c r="D2008" s="23"/>
      <c r="E2008" s="23"/>
    </row>
    <row r="2009" spans="2:5" x14ac:dyDescent="0.25">
      <c r="B2009" s="119"/>
      <c r="C2009" s="8"/>
      <c r="D2009" s="23"/>
      <c r="E2009" s="23"/>
    </row>
    <row r="2010" spans="2:5" x14ac:dyDescent="0.25">
      <c r="B2010" s="119"/>
      <c r="C2010" s="8"/>
      <c r="D2010" s="23"/>
      <c r="E2010" s="23"/>
    </row>
    <row r="2011" spans="2:5" x14ac:dyDescent="0.25">
      <c r="B2011" s="119"/>
      <c r="C2011" s="8"/>
      <c r="D2011" s="23"/>
      <c r="E2011" s="23"/>
    </row>
    <row r="2012" spans="2:5" x14ac:dyDescent="0.25">
      <c r="B2012" s="119"/>
      <c r="C2012" s="8"/>
      <c r="D2012" s="23"/>
      <c r="E2012" s="23"/>
    </row>
    <row r="2013" spans="2:5" x14ac:dyDescent="0.25">
      <c r="B2013" s="119"/>
      <c r="C2013" s="8"/>
      <c r="D2013" s="23"/>
      <c r="E2013" s="23"/>
    </row>
    <row r="2014" spans="2:5" x14ac:dyDescent="0.25">
      <c r="B2014" s="119"/>
      <c r="C2014" s="8"/>
      <c r="D2014" s="23"/>
      <c r="E2014" s="23"/>
    </row>
    <row r="2015" spans="2:5" x14ac:dyDescent="0.25">
      <c r="B2015" s="119"/>
      <c r="C2015" s="8"/>
      <c r="D2015" s="23"/>
      <c r="E2015" s="23"/>
    </row>
    <row r="2016" spans="2:5" x14ac:dyDescent="0.25">
      <c r="B2016" s="119"/>
      <c r="C2016" s="8"/>
      <c r="D2016" s="23"/>
      <c r="E2016" s="23"/>
    </row>
    <row r="2017" spans="2:5" x14ac:dyDescent="0.25">
      <c r="B2017" s="119"/>
      <c r="C2017" s="8"/>
      <c r="D2017" s="23"/>
      <c r="E2017" s="23"/>
    </row>
    <row r="2018" spans="2:5" x14ac:dyDescent="0.25">
      <c r="B2018" s="119"/>
      <c r="C2018" s="8"/>
      <c r="D2018" s="23"/>
      <c r="E2018" s="23"/>
    </row>
    <row r="2019" spans="2:5" x14ac:dyDescent="0.25">
      <c r="B2019" s="119"/>
      <c r="C2019" s="8"/>
      <c r="D2019" s="23"/>
      <c r="E2019" s="23"/>
    </row>
    <row r="2020" spans="2:5" x14ac:dyDescent="0.25">
      <c r="B2020" s="119"/>
      <c r="C2020" s="8"/>
      <c r="D2020" s="23"/>
      <c r="E2020" s="23"/>
    </row>
    <row r="2021" spans="2:5" x14ac:dyDescent="0.25">
      <c r="B2021" s="119"/>
      <c r="C2021" s="8"/>
      <c r="D2021" s="23"/>
      <c r="E2021" s="23"/>
    </row>
    <row r="2022" spans="2:5" x14ac:dyDescent="0.25">
      <c r="B2022" s="119"/>
      <c r="C2022" s="8"/>
      <c r="D2022" s="23"/>
      <c r="E2022" s="23"/>
    </row>
    <row r="2023" spans="2:5" x14ac:dyDescent="0.25">
      <c r="B2023" s="119"/>
      <c r="C2023" s="8"/>
      <c r="D2023" s="23"/>
      <c r="E2023" s="23"/>
    </row>
    <row r="2024" spans="2:5" x14ac:dyDescent="0.25">
      <c r="B2024" s="119"/>
      <c r="C2024" s="8"/>
      <c r="D2024" s="23"/>
      <c r="E2024" s="23"/>
    </row>
    <row r="2025" spans="2:5" x14ac:dyDescent="0.25">
      <c r="B2025" s="119"/>
      <c r="C2025" s="8"/>
      <c r="D2025" s="23"/>
      <c r="E2025" s="23"/>
    </row>
    <row r="2026" spans="2:5" x14ac:dyDescent="0.25">
      <c r="B2026" s="119"/>
      <c r="C2026" s="8"/>
      <c r="D2026" s="23"/>
      <c r="E2026" s="23"/>
    </row>
    <row r="2027" spans="2:5" x14ac:dyDescent="0.25">
      <c r="B2027" s="119"/>
      <c r="C2027" s="8"/>
      <c r="D2027" s="23"/>
      <c r="E2027" s="23"/>
    </row>
    <row r="2028" spans="2:5" x14ac:dyDescent="0.25">
      <c r="B2028" s="119"/>
      <c r="C2028" s="8"/>
      <c r="D2028" s="23"/>
      <c r="E2028" s="23"/>
    </row>
    <row r="2029" spans="2:5" x14ac:dyDescent="0.25">
      <c r="B2029" s="119"/>
      <c r="C2029" s="8"/>
      <c r="D2029" s="23"/>
      <c r="E2029" s="23"/>
    </row>
    <row r="2030" spans="2:5" x14ac:dyDescent="0.25">
      <c r="B2030" s="119"/>
      <c r="C2030" s="8"/>
      <c r="D2030" s="23"/>
      <c r="E2030" s="23"/>
    </row>
    <row r="2031" spans="2:5" x14ac:dyDescent="0.25">
      <c r="B2031" s="119"/>
      <c r="C2031" s="8"/>
      <c r="D2031" s="23"/>
      <c r="E2031" s="23"/>
    </row>
    <row r="2032" spans="2:5" x14ac:dyDescent="0.25">
      <c r="B2032" s="119"/>
      <c r="C2032" s="8"/>
      <c r="D2032" s="23"/>
      <c r="E2032" s="23"/>
    </row>
    <row r="2033" spans="2:5" x14ac:dyDescent="0.25">
      <c r="B2033" s="119"/>
      <c r="C2033" s="8"/>
      <c r="D2033" s="23"/>
      <c r="E2033" s="23"/>
    </row>
    <row r="2034" spans="2:5" x14ac:dyDescent="0.25">
      <c r="B2034" s="119"/>
      <c r="C2034" s="8"/>
      <c r="D2034" s="23"/>
      <c r="E2034" s="23"/>
    </row>
    <row r="2035" spans="2:5" x14ac:dyDescent="0.25">
      <c r="B2035" s="119"/>
      <c r="C2035" s="8"/>
      <c r="D2035" s="23"/>
      <c r="E2035" s="23"/>
    </row>
    <row r="2036" spans="2:5" x14ac:dyDescent="0.25">
      <c r="B2036" s="119"/>
      <c r="C2036" s="8"/>
      <c r="D2036" s="23"/>
      <c r="E2036" s="23"/>
    </row>
    <row r="2037" spans="2:5" x14ac:dyDescent="0.25">
      <c r="B2037" s="119"/>
      <c r="C2037" s="8"/>
      <c r="D2037" s="23"/>
      <c r="E2037" s="23"/>
    </row>
    <row r="2038" spans="2:5" x14ac:dyDescent="0.25">
      <c r="B2038" s="119"/>
      <c r="C2038" s="8"/>
      <c r="D2038" s="23"/>
      <c r="E2038" s="23"/>
    </row>
    <row r="2039" spans="2:5" x14ac:dyDescent="0.25">
      <c r="B2039" s="119"/>
      <c r="C2039" s="8"/>
      <c r="D2039" s="23"/>
      <c r="E2039" s="23"/>
    </row>
    <row r="2040" spans="2:5" x14ac:dyDescent="0.25">
      <c r="B2040" s="119"/>
      <c r="C2040" s="8"/>
      <c r="D2040" s="23"/>
      <c r="E2040" s="23"/>
    </row>
    <row r="2041" spans="2:5" x14ac:dyDescent="0.25">
      <c r="B2041" s="119"/>
      <c r="C2041" s="8"/>
      <c r="D2041" s="23"/>
      <c r="E2041" s="23"/>
    </row>
    <row r="2042" spans="2:5" x14ac:dyDescent="0.25">
      <c r="B2042" s="119"/>
      <c r="C2042" s="8"/>
      <c r="D2042" s="23"/>
      <c r="E2042" s="23"/>
    </row>
    <row r="2043" spans="2:5" x14ac:dyDescent="0.25">
      <c r="B2043" s="119"/>
      <c r="C2043" s="8"/>
      <c r="D2043" s="23"/>
      <c r="E2043" s="23"/>
    </row>
    <row r="2044" spans="2:5" x14ac:dyDescent="0.25">
      <c r="B2044" s="119"/>
      <c r="C2044" s="8"/>
      <c r="D2044" s="23"/>
      <c r="E2044" s="23"/>
    </row>
    <row r="2045" spans="2:5" x14ac:dyDescent="0.25">
      <c r="B2045" s="119"/>
      <c r="C2045" s="8"/>
      <c r="D2045" s="23"/>
      <c r="E2045" s="23"/>
    </row>
    <row r="2046" spans="2:5" x14ac:dyDescent="0.25">
      <c r="B2046" s="119"/>
      <c r="C2046" s="8"/>
      <c r="D2046" s="23"/>
      <c r="E2046" s="23"/>
    </row>
    <row r="2047" spans="2:5" x14ac:dyDescent="0.25">
      <c r="B2047" s="119"/>
      <c r="C2047" s="8"/>
      <c r="D2047" s="23"/>
      <c r="E2047" s="23"/>
    </row>
    <row r="2048" spans="2:5" x14ac:dyDescent="0.25">
      <c r="B2048" s="119"/>
      <c r="C2048" s="8"/>
      <c r="D2048" s="23"/>
      <c r="E2048" s="23"/>
    </row>
    <row r="2049" spans="2:5" x14ac:dyDescent="0.25">
      <c r="B2049" s="119"/>
      <c r="C2049" s="8"/>
      <c r="D2049" s="23"/>
      <c r="E2049" s="23"/>
    </row>
    <row r="2050" spans="2:5" x14ac:dyDescent="0.25">
      <c r="B2050" s="119"/>
      <c r="C2050" s="8"/>
      <c r="D2050" s="23"/>
      <c r="E2050" s="23"/>
    </row>
    <row r="2051" spans="2:5" x14ac:dyDescent="0.25">
      <c r="B2051" s="119"/>
      <c r="C2051" s="8"/>
      <c r="D2051" s="23"/>
      <c r="E2051" s="23"/>
    </row>
    <row r="2052" spans="2:5" x14ac:dyDescent="0.25">
      <c r="B2052" s="119"/>
      <c r="C2052" s="8"/>
      <c r="D2052" s="23"/>
      <c r="E2052" s="23"/>
    </row>
    <row r="2053" spans="2:5" x14ac:dyDescent="0.25">
      <c r="B2053" s="119"/>
      <c r="C2053" s="8"/>
      <c r="D2053" s="23"/>
      <c r="E2053" s="23"/>
    </row>
    <row r="2054" spans="2:5" x14ac:dyDescent="0.25">
      <c r="B2054" s="119"/>
      <c r="C2054" s="8"/>
      <c r="D2054" s="23"/>
      <c r="E2054" s="23"/>
    </row>
    <row r="2055" spans="2:5" x14ac:dyDescent="0.25">
      <c r="B2055" s="119"/>
      <c r="C2055" s="8"/>
      <c r="D2055" s="23"/>
      <c r="E2055" s="23"/>
    </row>
    <row r="2056" spans="2:5" x14ac:dyDescent="0.25">
      <c r="B2056" s="119"/>
      <c r="C2056" s="8"/>
      <c r="D2056" s="23"/>
      <c r="E2056" s="23"/>
    </row>
    <row r="2057" spans="2:5" x14ac:dyDescent="0.25">
      <c r="B2057" s="119"/>
      <c r="C2057" s="8"/>
      <c r="D2057" s="23"/>
      <c r="E2057" s="23"/>
    </row>
    <row r="2058" spans="2:5" x14ac:dyDescent="0.25">
      <c r="B2058" s="119"/>
      <c r="C2058" s="8"/>
      <c r="D2058" s="23"/>
      <c r="E2058" s="23"/>
    </row>
    <row r="2059" spans="2:5" x14ac:dyDescent="0.25">
      <c r="B2059" s="119"/>
      <c r="C2059" s="8"/>
      <c r="D2059" s="23"/>
      <c r="E2059" s="23"/>
    </row>
    <row r="2060" spans="2:5" x14ac:dyDescent="0.25">
      <c r="B2060" s="119"/>
      <c r="C2060" s="8"/>
      <c r="D2060" s="23"/>
      <c r="E2060" s="23"/>
    </row>
    <row r="2061" spans="2:5" x14ac:dyDescent="0.25">
      <c r="B2061" s="119"/>
      <c r="C2061" s="8"/>
      <c r="D2061" s="23"/>
      <c r="E2061" s="23"/>
    </row>
    <row r="2062" spans="2:5" x14ac:dyDescent="0.25">
      <c r="B2062" s="119"/>
      <c r="C2062" s="8"/>
      <c r="D2062" s="23"/>
      <c r="E2062" s="23"/>
    </row>
    <row r="2063" spans="2:5" x14ac:dyDescent="0.25">
      <c r="B2063" s="119"/>
      <c r="C2063" s="8"/>
      <c r="D2063" s="23"/>
      <c r="E2063" s="23"/>
    </row>
    <row r="2064" spans="2:5" x14ac:dyDescent="0.25">
      <c r="B2064" s="119"/>
      <c r="C2064" s="8"/>
      <c r="D2064" s="23"/>
      <c r="E2064" s="23"/>
    </row>
    <row r="2065" spans="2:5" x14ac:dyDescent="0.25">
      <c r="B2065" s="119"/>
      <c r="C2065" s="8"/>
      <c r="D2065" s="23"/>
      <c r="E2065" s="23"/>
    </row>
    <row r="2066" spans="2:5" x14ac:dyDescent="0.25">
      <c r="B2066" s="119"/>
      <c r="C2066" s="8"/>
      <c r="D2066" s="23"/>
      <c r="E2066" s="23"/>
    </row>
    <row r="2067" spans="2:5" x14ac:dyDescent="0.25">
      <c r="B2067" s="119"/>
      <c r="C2067" s="8"/>
      <c r="D2067" s="23"/>
      <c r="E2067" s="23"/>
    </row>
    <row r="2068" spans="2:5" x14ac:dyDescent="0.25">
      <c r="B2068" s="119"/>
      <c r="C2068" s="8"/>
      <c r="D2068" s="23"/>
      <c r="E2068" s="23"/>
    </row>
    <row r="2069" spans="2:5" x14ac:dyDescent="0.25">
      <c r="B2069" s="119"/>
      <c r="C2069" s="8"/>
      <c r="D2069" s="23"/>
      <c r="E2069" s="23"/>
    </row>
    <row r="2070" spans="2:5" x14ac:dyDescent="0.25">
      <c r="B2070" s="119"/>
      <c r="C2070" s="8"/>
      <c r="D2070" s="23"/>
      <c r="E2070" s="23"/>
    </row>
    <row r="2071" spans="2:5" x14ac:dyDescent="0.25">
      <c r="B2071" s="119"/>
      <c r="C2071" s="8"/>
      <c r="D2071" s="23"/>
      <c r="E2071" s="23"/>
    </row>
    <row r="2072" spans="2:5" x14ac:dyDescent="0.25">
      <c r="B2072" s="119"/>
      <c r="C2072" s="8"/>
      <c r="D2072" s="23"/>
      <c r="E2072" s="23"/>
    </row>
    <row r="2073" spans="2:5" x14ac:dyDescent="0.25">
      <c r="B2073" s="119"/>
      <c r="C2073" s="8"/>
      <c r="D2073" s="23"/>
      <c r="E2073" s="23"/>
    </row>
    <row r="2074" spans="2:5" x14ac:dyDescent="0.25">
      <c r="B2074" s="119"/>
      <c r="C2074" s="8"/>
      <c r="D2074" s="23"/>
      <c r="E2074" s="23"/>
    </row>
    <row r="2075" spans="2:5" x14ac:dyDescent="0.25">
      <c r="B2075" s="119"/>
      <c r="C2075" s="8"/>
      <c r="D2075" s="23"/>
      <c r="E2075" s="23"/>
    </row>
    <row r="2076" spans="2:5" x14ac:dyDescent="0.25">
      <c r="B2076" s="119"/>
      <c r="C2076" s="8"/>
      <c r="D2076" s="23"/>
      <c r="E2076" s="23"/>
    </row>
    <row r="2077" spans="2:5" x14ac:dyDescent="0.25">
      <c r="B2077" s="119"/>
      <c r="C2077" s="8"/>
      <c r="D2077" s="23"/>
      <c r="E2077" s="23"/>
    </row>
    <row r="2078" spans="2:5" x14ac:dyDescent="0.25">
      <c r="B2078" s="119"/>
      <c r="C2078" s="8"/>
      <c r="D2078" s="23"/>
      <c r="E2078" s="23"/>
    </row>
    <row r="2079" spans="2:5" x14ac:dyDescent="0.25">
      <c r="B2079" s="119"/>
      <c r="C2079" s="8"/>
      <c r="D2079" s="23"/>
      <c r="E2079" s="23"/>
    </row>
    <row r="2080" spans="2:5" x14ac:dyDescent="0.25">
      <c r="B2080" s="119"/>
      <c r="C2080" s="8"/>
      <c r="D2080" s="23"/>
      <c r="E2080" s="23"/>
    </row>
    <row r="2081" spans="2:5" x14ac:dyDescent="0.25">
      <c r="B2081" s="119"/>
      <c r="C2081" s="8"/>
      <c r="D2081" s="23"/>
      <c r="E2081" s="23"/>
    </row>
    <row r="2082" spans="2:5" x14ac:dyDescent="0.25">
      <c r="B2082" s="119"/>
      <c r="C2082" s="8"/>
      <c r="D2082" s="23"/>
      <c r="E2082" s="23"/>
    </row>
    <row r="2083" spans="2:5" x14ac:dyDescent="0.25">
      <c r="B2083" s="119"/>
      <c r="C2083" s="8"/>
      <c r="D2083" s="23"/>
      <c r="E2083" s="23"/>
    </row>
    <row r="2084" spans="2:5" x14ac:dyDescent="0.25">
      <c r="B2084" s="119"/>
      <c r="C2084" s="8"/>
      <c r="D2084" s="23"/>
      <c r="E2084" s="23"/>
    </row>
    <row r="2085" spans="2:5" x14ac:dyDescent="0.25">
      <c r="B2085" s="119"/>
      <c r="C2085" s="8"/>
      <c r="D2085" s="23"/>
      <c r="E2085" s="23"/>
    </row>
    <row r="2086" spans="2:5" x14ac:dyDescent="0.25">
      <c r="B2086" s="119"/>
      <c r="C2086" s="8"/>
      <c r="D2086" s="23"/>
      <c r="E2086" s="23"/>
    </row>
    <row r="2087" spans="2:5" x14ac:dyDescent="0.25">
      <c r="B2087" s="119"/>
      <c r="C2087" s="8"/>
      <c r="D2087" s="23"/>
      <c r="E2087" s="23"/>
    </row>
    <row r="2088" spans="2:5" x14ac:dyDescent="0.25">
      <c r="B2088" s="119"/>
      <c r="C2088" s="8"/>
      <c r="D2088" s="23"/>
      <c r="E2088" s="23"/>
    </row>
    <row r="2089" spans="2:5" x14ac:dyDescent="0.25">
      <c r="B2089" s="119"/>
      <c r="C2089" s="8"/>
      <c r="D2089" s="23"/>
      <c r="E2089" s="23"/>
    </row>
    <row r="2090" spans="2:5" x14ac:dyDescent="0.25">
      <c r="B2090" s="119"/>
      <c r="C2090" s="8"/>
      <c r="D2090" s="23"/>
      <c r="E2090" s="23"/>
    </row>
    <row r="2091" spans="2:5" x14ac:dyDescent="0.25">
      <c r="B2091" s="119"/>
      <c r="C2091" s="8"/>
      <c r="D2091" s="23"/>
      <c r="E2091" s="23"/>
    </row>
    <row r="2092" spans="2:5" x14ac:dyDescent="0.25">
      <c r="B2092" s="119"/>
      <c r="C2092" s="8"/>
      <c r="D2092" s="23"/>
      <c r="E2092" s="23"/>
    </row>
    <row r="2093" spans="2:5" x14ac:dyDescent="0.25">
      <c r="B2093" s="119"/>
      <c r="C2093" s="8"/>
      <c r="D2093" s="23"/>
      <c r="E2093" s="23"/>
    </row>
    <row r="2094" spans="2:5" x14ac:dyDescent="0.25">
      <c r="B2094" s="119"/>
      <c r="C2094" s="8"/>
      <c r="D2094" s="23"/>
      <c r="E2094" s="23"/>
    </row>
    <row r="2095" spans="2:5" x14ac:dyDescent="0.25">
      <c r="B2095" s="119"/>
      <c r="C2095" s="8"/>
      <c r="D2095" s="23"/>
      <c r="E2095" s="23"/>
    </row>
    <row r="2096" spans="2:5" x14ac:dyDescent="0.25">
      <c r="B2096" s="119"/>
      <c r="C2096" s="8"/>
      <c r="D2096" s="23"/>
      <c r="E2096" s="23"/>
    </row>
    <row r="2097" spans="2:5" x14ac:dyDescent="0.25">
      <c r="B2097" s="119"/>
      <c r="C2097" s="8"/>
      <c r="D2097" s="23"/>
      <c r="E2097" s="23"/>
    </row>
    <row r="2098" spans="2:5" x14ac:dyDescent="0.25">
      <c r="B2098" s="119"/>
      <c r="C2098" s="8"/>
      <c r="D2098" s="23"/>
      <c r="E2098" s="23"/>
    </row>
    <row r="2099" spans="2:5" x14ac:dyDescent="0.25">
      <c r="B2099" s="119"/>
      <c r="C2099" s="8"/>
      <c r="D2099" s="23"/>
      <c r="E2099" s="23"/>
    </row>
    <row r="2100" spans="2:5" x14ac:dyDescent="0.25">
      <c r="B2100" s="119"/>
      <c r="C2100" s="8"/>
      <c r="D2100" s="23"/>
      <c r="E2100" s="23"/>
    </row>
    <row r="2101" spans="2:5" x14ac:dyDescent="0.25">
      <c r="B2101" s="119"/>
      <c r="C2101" s="8"/>
      <c r="D2101" s="23"/>
      <c r="E2101" s="23"/>
    </row>
    <row r="2102" spans="2:5" x14ac:dyDescent="0.25">
      <c r="B2102" s="119"/>
      <c r="C2102" s="8"/>
      <c r="D2102" s="23"/>
      <c r="E2102" s="23"/>
    </row>
    <row r="2103" spans="2:5" x14ac:dyDescent="0.25">
      <c r="B2103" s="119"/>
      <c r="C2103" s="8"/>
      <c r="D2103" s="23"/>
      <c r="E2103" s="23"/>
    </row>
    <row r="2104" spans="2:5" x14ac:dyDescent="0.25">
      <c r="B2104" s="119"/>
      <c r="C2104" s="8"/>
      <c r="D2104" s="23"/>
      <c r="E2104" s="23"/>
    </row>
    <row r="2105" spans="2:5" x14ac:dyDescent="0.25">
      <c r="B2105" s="119"/>
      <c r="C2105" s="8"/>
      <c r="D2105" s="23"/>
      <c r="E2105" s="23"/>
    </row>
    <row r="2106" spans="2:5" x14ac:dyDescent="0.25">
      <c r="B2106" s="119"/>
      <c r="C2106" s="8"/>
      <c r="D2106" s="23"/>
      <c r="E2106" s="23"/>
    </row>
    <row r="2107" spans="2:5" x14ac:dyDescent="0.25">
      <c r="B2107" s="119"/>
      <c r="C2107" s="8"/>
      <c r="D2107" s="23"/>
      <c r="E2107" s="23"/>
    </row>
    <row r="2108" spans="2:5" x14ac:dyDescent="0.25">
      <c r="B2108" s="119"/>
      <c r="C2108" s="8"/>
      <c r="D2108" s="23"/>
      <c r="E2108" s="23"/>
    </row>
    <row r="2109" spans="2:5" x14ac:dyDescent="0.25">
      <c r="B2109" s="119"/>
      <c r="C2109" s="8"/>
      <c r="D2109" s="23"/>
      <c r="E2109" s="23"/>
    </row>
    <row r="2110" spans="2:5" x14ac:dyDescent="0.25">
      <c r="B2110" s="119"/>
      <c r="C2110" s="8"/>
      <c r="D2110" s="23"/>
      <c r="E2110" s="23"/>
    </row>
    <row r="2111" spans="2:5" x14ac:dyDescent="0.25">
      <c r="B2111" s="119"/>
      <c r="C2111" s="8"/>
      <c r="D2111" s="23"/>
      <c r="E2111" s="23"/>
    </row>
    <row r="2112" spans="2:5" x14ac:dyDescent="0.25">
      <c r="B2112" s="119"/>
      <c r="C2112" s="8"/>
      <c r="D2112" s="23"/>
      <c r="E2112" s="23"/>
    </row>
    <row r="2113" spans="2:5" x14ac:dyDescent="0.25">
      <c r="B2113" s="119"/>
      <c r="C2113" s="8"/>
      <c r="D2113" s="23"/>
      <c r="E2113" s="23"/>
    </row>
    <row r="2114" spans="2:5" x14ac:dyDescent="0.25">
      <c r="B2114" s="119"/>
      <c r="C2114" s="8"/>
      <c r="D2114" s="23"/>
      <c r="E2114" s="23"/>
    </row>
    <row r="2115" spans="2:5" x14ac:dyDescent="0.25">
      <c r="B2115" s="119"/>
      <c r="C2115" s="8"/>
      <c r="D2115" s="23"/>
      <c r="E2115" s="23"/>
    </row>
    <row r="2116" spans="2:5" x14ac:dyDescent="0.25">
      <c r="B2116" s="119"/>
      <c r="C2116" s="8"/>
      <c r="D2116" s="23"/>
      <c r="E2116" s="23"/>
    </row>
    <row r="2117" spans="2:5" x14ac:dyDescent="0.25">
      <c r="B2117" s="119"/>
      <c r="C2117" s="8"/>
      <c r="D2117" s="23"/>
      <c r="E2117" s="23"/>
    </row>
    <row r="2118" spans="2:5" x14ac:dyDescent="0.25">
      <c r="B2118" s="119"/>
      <c r="C2118" s="8"/>
      <c r="D2118" s="23"/>
      <c r="E2118" s="23"/>
    </row>
    <row r="2119" spans="2:5" x14ac:dyDescent="0.25">
      <c r="B2119" s="119"/>
      <c r="C2119" s="8"/>
      <c r="D2119" s="23"/>
      <c r="E2119" s="23"/>
    </row>
    <row r="2120" spans="2:5" x14ac:dyDescent="0.25">
      <c r="B2120" s="119"/>
      <c r="C2120" s="8"/>
      <c r="D2120" s="23"/>
      <c r="E2120" s="23"/>
    </row>
    <row r="2121" spans="2:5" x14ac:dyDescent="0.25">
      <c r="B2121" s="119"/>
      <c r="C2121" s="8"/>
      <c r="D2121" s="23"/>
      <c r="E2121" s="23"/>
    </row>
    <row r="2122" spans="2:5" x14ac:dyDescent="0.25">
      <c r="B2122" s="119"/>
      <c r="C2122" s="8"/>
      <c r="D2122" s="23"/>
      <c r="E2122" s="23"/>
    </row>
    <row r="2123" spans="2:5" x14ac:dyDescent="0.25">
      <c r="B2123" s="119"/>
      <c r="C2123" s="8"/>
      <c r="D2123" s="23"/>
      <c r="E2123" s="23"/>
    </row>
    <row r="2124" spans="2:5" x14ac:dyDescent="0.25">
      <c r="B2124" s="119"/>
      <c r="C2124" s="8"/>
      <c r="D2124" s="23"/>
      <c r="E2124" s="23"/>
    </row>
    <row r="2125" spans="2:5" x14ac:dyDescent="0.25">
      <c r="B2125" s="119"/>
      <c r="C2125" s="8"/>
      <c r="D2125" s="23"/>
      <c r="E2125" s="23"/>
    </row>
    <row r="2126" spans="2:5" x14ac:dyDescent="0.25">
      <c r="B2126" s="119"/>
      <c r="C2126" s="8"/>
      <c r="D2126" s="23"/>
      <c r="E2126" s="23"/>
    </row>
    <row r="2127" spans="2:5" x14ac:dyDescent="0.25">
      <c r="B2127" s="119"/>
      <c r="C2127" s="8"/>
      <c r="D2127" s="23"/>
      <c r="E2127" s="23"/>
    </row>
    <row r="2128" spans="2:5" x14ac:dyDescent="0.25">
      <c r="B2128" s="119"/>
      <c r="C2128" s="8"/>
      <c r="D2128" s="23"/>
      <c r="E2128" s="23"/>
    </row>
    <row r="2129" spans="2:5" x14ac:dyDescent="0.25">
      <c r="B2129" s="119"/>
      <c r="C2129" s="8"/>
      <c r="D2129" s="23"/>
      <c r="E2129" s="23"/>
    </row>
    <row r="2130" spans="2:5" x14ac:dyDescent="0.25">
      <c r="B2130" s="119"/>
      <c r="C2130" s="8"/>
      <c r="D2130" s="23"/>
      <c r="E2130" s="23"/>
    </row>
    <row r="2131" spans="2:5" x14ac:dyDescent="0.25">
      <c r="B2131" s="119"/>
      <c r="C2131" s="8"/>
      <c r="D2131" s="23"/>
      <c r="E2131" s="23"/>
    </row>
    <row r="2132" spans="2:5" x14ac:dyDescent="0.25">
      <c r="B2132" s="119"/>
      <c r="C2132" s="8"/>
      <c r="D2132" s="23"/>
      <c r="E2132" s="23"/>
    </row>
    <row r="2133" spans="2:5" x14ac:dyDescent="0.25">
      <c r="B2133" s="119"/>
      <c r="C2133" s="8"/>
      <c r="D2133" s="23"/>
      <c r="E2133" s="23"/>
    </row>
    <row r="2134" spans="2:5" x14ac:dyDescent="0.25">
      <c r="B2134" s="119"/>
      <c r="C2134" s="8"/>
      <c r="D2134" s="23"/>
      <c r="E2134" s="23"/>
    </row>
    <row r="2135" spans="2:5" x14ac:dyDescent="0.25">
      <c r="B2135" s="119"/>
      <c r="C2135" s="8"/>
      <c r="D2135" s="23"/>
      <c r="E2135" s="23"/>
    </row>
    <row r="2136" spans="2:5" x14ac:dyDescent="0.25">
      <c r="B2136" s="119"/>
      <c r="C2136" s="8"/>
      <c r="D2136" s="23"/>
      <c r="E2136" s="23"/>
    </row>
    <row r="2137" spans="2:5" x14ac:dyDescent="0.25">
      <c r="B2137" s="119"/>
      <c r="C2137" s="8"/>
      <c r="D2137" s="23"/>
      <c r="E2137" s="23"/>
    </row>
    <row r="2138" spans="2:5" x14ac:dyDescent="0.25">
      <c r="B2138" s="119"/>
      <c r="C2138" s="8"/>
      <c r="D2138" s="23"/>
      <c r="E2138" s="23"/>
    </row>
    <row r="2139" spans="2:5" x14ac:dyDescent="0.25">
      <c r="B2139" s="119"/>
      <c r="C2139" s="8"/>
      <c r="D2139" s="23"/>
      <c r="E2139" s="23"/>
    </row>
    <row r="2140" spans="2:5" x14ac:dyDescent="0.25">
      <c r="B2140" s="119"/>
      <c r="C2140" s="8"/>
      <c r="D2140" s="23"/>
      <c r="E2140" s="23"/>
    </row>
    <row r="2141" spans="2:5" x14ac:dyDescent="0.25">
      <c r="B2141" s="119"/>
      <c r="C2141" s="8"/>
      <c r="D2141" s="23"/>
      <c r="E2141" s="23"/>
    </row>
    <row r="2142" spans="2:5" x14ac:dyDescent="0.25">
      <c r="B2142" s="119"/>
      <c r="C2142" s="8"/>
      <c r="D2142" s="23"/>
      <c r="E2142" s="23"/>
    </row>
    <row r="2143" spans="2:5" x14ac:dyDescent="0.25">
      <c r="B2143" s="119"/>
      <c r="C2143" s="8"/>
      <c r="D2143" s="23"/>
      <c r="E2143" s="23"/>
    </row>
    <row r="2144" spans="2:5" x14ac:dyDescent="0.25">
      <c r="B2144" s="119"/>
      <c r="C2144" s="8"/>
      <c r="D2144" s="23"/>
      <c r="E2144" s="23"/>
    </row>
    <row r="2145" spans="2:5" x14ac:dyDescent="0.25">
      <c r="B2145" s="119"/>
      <c r="C2145" s="8"/>
      <c r="D2145" s="23"/>
      <c r="E2145" s="23"/>
    </row>
    <row r="2146" spans="2:5" x14ac:dyDescent="0.25">
      <c r="B2146" s="119"/>
      <c r="C2146" s="8"/>
      <c r="D2146" s="23"/>
      <c r="E2146" s="23"/>
    </row>
    <row r="2147" spans="2:5" x14ac:dyDescent="0.25">
      <c r="B2147" s="119"/>
      <c r="C2147" s="8"/>
      <c r="D2147" s="23"/>
      <c r="E2147" s="23"/>
    </row>
    <row r="2148" spans="2:5" x14ac:dyDescent="0.25">
      <c r="B2148" s="119"/>
      <c r="C2148" s="8"/>
      <c r="D2148" s="23"/>
      <c r="E2148" s="23"/>
    </row>
    <row r="2149" spans="2:5" x14ac:dyDescent="0.25">
      <c r="B2149" s="119"/>
      <c r="C2149" s="8"/>
      <c r="D2149" s="23"/>
      <c r="E2149" s="23"/>
    </row>
    <row r="2150" spans="2:5" x14ac:dyDescent="0.25">
      <c r="B2150" s="119"/>
      <c r="C2150" s="8"/>
      <c r="D2150" s="23"/>
      <c r="E2150" s="23"/>
    </row>
    <row r="2151" spans="2:5" x14ac:dyDescent="0.25">
      <c r="B2151" s="119"/>
      <c r="C2151" s="8"/>
      <c r="D2151" s="23"/>
      <c r="E2151" s="23"/>
    </row>
    <row r="2152" spans="2:5" x14ac:dyDescent="0.25">
      <c r="B2152" s="119"/>
      <c r="C2152" s="8"/>
      <c r="D2152" s="23"/>
      <c r="E2152" s="23"/>
    </row>
    <row r="2153" spans="2:5" x14ac:dyDescent="0.25">
      <c r="B2153" s="119"/>
      <c r="C2153" s="8"/>
      <c r="D2153" s="23"/>
      <c r="E2153" s="23"/>
    </row>
    <row r="2154" spans="2:5" x14ac:dyDescent="0.25">
      <c r="B2154" s="119"/>
      <c r="C2154" s="8"/>
      <c r="D2154" s="23"/>
      <c r="E2154" s="23"/>
    </row>
    <row r="2155" spans="2:5" x14ac:dyDescent="0.25">
      <c r="B2155" s="119"/>
      <c r="C2155" s="8"/>
      <c r="D2155" s="23"/>
      <c r="E2155" s="23"/>
    </row>
    <row r="2156" spans="2:5" x14ac:dyDescent="0.25">
      <c r="B2156" s="119"/>
      <c r="C2156" s="8"/>
      <c r="D2156" s="23"/>
      <c r="E2156" s="23"/>
    </row>
    <row r="2157" spans="2:5" x14ac:dyDescent="0.25">
      <c r="B2157" s="119"/>
      <c r="C2157" s="8"/>
      <c r="D2157" s="23"/>
      <c r="E2157" s="23"/>
    </row>
    <row r="2158" spans="2:5" x14ac:dyDescent="0.25">
      <c r="B2158" s="119"/>
      <c r="C2158" s="8"/>
      <c r="D2158" s="23"/>
      <c r="E2158" s="23"/>
    </row>
    <row r="2159" spans="2:5" x14ac:dyDescent="0.25">
      <c r="B2159" s="119"/>
      <c r="C2159" s="8"/>
      <c r="D2159" s="23"/>
      <c r="E2159" s="23"/>
    </row>
    <row r="2160" spans="2:5" x14ac:dyDescent="0.25">
      <c r="B2160" s="119"/>
      <c r="C2160" s="8"/>
      <c r="D2160" s="23"/>
      <c r="E2160" s="23"/>
    </row>
    <row r="2161" spans="2:5" x14ac:dyDescent="0.25">
      <c r="B2161" s="119"/>
      <c r="C2161" s="8"/>
      <c r="D2161" s="23"/>
      <c r="E2161" s="23"/>
    </row>
    <row r="2162" spans="2:5" x14ac:dyDescent="0.25">
      <c r="B2162" s="119"/>
      <c r="C2162" s="8"/>
      <c r="D2162" s="23"/>
      <c r="E2162" s="23"/>
    </row>
    <row r="2163" spans="2:5" x14ac:dyDescent="0.25">
      <c r="B2163" s="119"/>
      <c r="C2163" s="8"/>
      <c r="D2163" s="23"/>
      <c r="E2163" s="23"/>
    </row>
    <row r="2164" spans="2:5" x14ac:dyDescent="0.25">
      <c r="B2164" s="119"/>
      <c r="C2164" s="8"/>
      <c r="D2164" s="23"/>
      <c r="E2164" s="23"/>
    </row>
    <row r="2165" spans="2:5" x14ac:dyDescent="0.25">
      <c r="B2165" s="119"/>
      <c r="C2165" s="8"/>
      <c r="D2165" s="23"/>
      <c r="E2165" s="23"/>
    </row>
    <row r="2166" spans="2:5" x14ac:dyDescent="0.25">
      <c r="B2166" s="119"/>
      <c r="C2166" s="8"/>
      <c r="D2166" s="23"/>
      <c r="E2166" s="23"/>
    </row>
    <row r="2167" spans="2:5" x14ac:dyDescent="0.25">
      <c r="B2167" s="119"/>
      <c r="C2167" s="8"/>
      <c r="D2167" s="23"/>
      <c r="E2167" s="23"/>
    </row>
    <row r="2168" spans="2:5" x14ac:dyDescent="0.25">
      <c r="B2168" s="119"/>
      <c r="C2168" s="8"/>
      <c r="D2168" s="23"/>
      <c r="E2168" s="23"/>
    </row>
    <row r="2169" spans="2:5" x14ac:dyDescent="0.25">
      <c r="B2169" s="119"/>
      <c r="C2169" s="8"/>
      <c r="D2169" s="23"/>
      <c r="E2169" s="23"/>
    </row>
    <row r="2170" spans="2:5" x14ac:dyDescent="0.25">
      <c r="B2170" s="119"/>
      <c r="C2170" s="8"/>
      <c r="D2170" s="23"/>
      <c r="E2170" s="23"/>
    </row>
    <row r="2171" spans="2:5" x14ac:dyDescent="0.25">
      <c r="B2171" s="119"/>
      <c r="C2171" s="8"/>
      <c r="D2171" s="23"/>
      <c r="E2171" s="23"/>
    </row>
    <row r="2172" spans="2:5" x14ac:dyDescent="0.25">
      <c r="B2172" s="119"/>
      <c r="C2172" s="8"/>
      <c r="D2172" s="23"/>
      <c r="E2172" s="23"/>
    </row>
    <row r="2173" spans="2:5" x14ac:dyDescent="0.25">
      <c r="B2173" s="119"/>
      <c r="C2173" s="8"/>
      <c r="D2173" s="23"/>
      <c r="E2173" s="23"/>
    </row>
    <row r="2174" spans="2:5" x14ac:dyDescent="0.25">
      <c r="B2174" s="119"/>
      <c r="C2174" s="8"/>
      <c r="D2174" s="23"/>
      <c r="E2174" s="23"/>
    </row>
    <row r="2175" spans="2:5" x14ac:dyDescent="0.25">
      <c r="B2175" s="119"/>
      <c r="C2175" s="8"/>
      <c r="D2175" s="23"/>
      <c r="E2175" s="23"/>
    </row>
    <row r="2176" spans="2:5" x14ac:dyDescent="0.25">
      <c r="B2176" s="119"/>
      <c r="C2176" s="8"/>
      <c r="D2176" s="23"/>
      <c r="E2176" s="23"/>
    </row>
    <row r="2177" spans="2:5" x14ac:dyDescent="0.25">
      <c r="B2177" s="119"/>
      <c r="C2177" s="8"/>
      <c r="D2177" s="23"/>
      <c r="E2177" s="23"/>
    </row>
    <row r="2178" spans="2:5" x14ac:dyDescent="0.25">
      <c r="B2178" s="119"/>
      <c r="C2178" s="8"/>
      <c r="D2178" s="23"/>
      <c r="E2178" s="23"/>
    </row>
    <row r="2179" spans="2:5" x14ac:dyDescent="0.25">
      <c r="B2179" s="119"/>
      <c r="C2179" s="8"/>
      <c r="D2179" s="23"/>
      <c r="E2179" s="23"/>
    </row>
    <row r="2180" spans="2:5" x14ac:dyDescent="0.25">
      <c r="B2180" s="119"/>
      <c r="C2180" s="8"/>
      <c r="D2180" s="23"/>
      <c r="E2180" s="23"/>
    </row>
    <row r="2181" spans="2:5" x14ac:dyDescent="0.25">
      <c r="B2181" s="119"/>
      <c r="C2181" s="8"/>
      <c r="D2181" s="23"/>
      <c r="E2181" s="23"/>
    </row>
    <row r="2182" spans="2:5" x14ac:dyDescent="0.25">
      <c r="B2182" s="119"/>
      <c r="C2182" s="8"/>
      <c r="D2182" s="23"/>
      <c r="E2182" s="23"/>
    </row>
    <row r="2183" spans="2:5" x14ac:dyDescent="0.25">
      <c r="B2183" s="119"/>
      <c r="C2183" s="8"/>
      <c r="D2183" s="23"/>
      <c r="E2183" s="23"/>
    </row>
    <row r="2184" spans="2:5" x14ac:dyDescent="0.25">
      <c r="B2184" s="119"/>
      <c r="C2184" s="8"/>
      <c r="D2184" s="23"/>
      <c r="E2184" s="23"/>
    </row>
    <row r="2185" spans="2:5" x14ac:dyDescent="0.25">
      <c r="B2185" s="119"/>
      <c r="C2185" s="8"/>
      <c r="D2185" s="23"/>
      <c r="E2185" s="23"/>
    </row>
    <row r="2186" spans="2:5" x14ac:dyDescent="0.25">
      <c r="B2186" s="119"/>
      <c r="C2186" s="8"/>
      <c r="D2186" s="23"/>
      <c r="E2186" s="23"/>
    </row>
    <row r="2187" spans="2:5" x14ac:dyDescent="0.25">
      <c r="B2187" s="119"/>
      <c r="C2187" s="8"/>
      <c r="D2187" s="23"/>
      <c r="E2187" s="23"/>
    </row>
    <row r="2188" spans="2:5" x14ac:dyDescent="0.25">
      <c r="B2188" s="119"/>
      <c r="C2188" s="8"/>
      <c r="D2188" s="23"/>
      <c r="E2188" s="23"/>
    </row>
    <row r="2189" spans="2:5" x14ac:dyDescent="0.25">
      <c r="B2189" s="119"/>
      <c r="C2189" s="8"/>
      <c r="D2189" s="23"/>
      <c r="E2189" s="23"/>
    </row>
    <row r="2190" spans="2:5" x14ac:dyDescent="0.25">
      <c r="B2190" s="119"/>
      <c r="C2190" s="8"/>
      <c r="D2190" s="23"/>
      <c r="E2190" s="23"/>
    </row>
    <row r="2191" spans="2:5" x14ac:dyDescent="0.25">
      <c r="B2191" s="119"/>
      <c r="C2191" s="8"/>
      <c r="D2191" s="23"/>
      <c r="E2191" s="23"/>
    </row>
    <row r="2192" spans="2:5" x14ac:dyDescent="0.25">
      <c r="B2192" s="119"/>
      <c r="C2192" s="8"/>
      <c r="D2192" s="23"/>
      <c r="E2192" s="23"/>
    </row>
    <row r="2193" spans="2:5" x14ac:dyDescent="0.25">
      <c r="B2193" s="119"/>
      <c r="C2193" s="8"/>
      <c r="D2193" s="23"/>
      <c r="E2193" s="23"/>
    </row>
    <row r="2194" spans="2:5" x14ac:dyDescent="0.25">
      <c r="B2194" s="119"/>
      <c r="C2194" s="8"/>
      <c r="D2194" s="23"/>
      <c r="E2194" s="23"/>
    </row>
    <row r="2195" spans="2:5" x14ac:dyDescent="0.25">
      <c r="B2195" s="119"/>
      <c r="C2195" s="8"/>
      <c r="D2195" s="23"/>
      <c r="E2195" s="23"/>
    </row>
    <row r="2196" spans="2:5" x14ac:dyDescent="0.25">
      <c r="B2196" s="119"/>
      <c r="C2196" s="8"/>
      <c r="D2196" s="23"/>
      <c r="E2196" s="23"/>
    </row>
    <row r="2197" spans="2:5" x14ac:dyDescent="0.25">
      <c r="B2197" s="119"/>
      <c r="C2197" s="8"/>
      <c r="D2197" s="23"/>
      <c r="E2197" s="23"/>
    </row>
    <row r="2198" spans="2:5" x14ac:dyDescent="0.25">
      <c r="B2198" s="119"/>
      <c r="C2198" s="8"/>
      <c r="D2198" s="23"/>
      <c r="E2198" s="23"/>
    </row>
    <row r="2199" spans="2:5" x14ac:dyDescent="0.25">
      <c r="B2199" s="119"/>
      <c r="C2199" s="8"/>
      <c r="D2199" s="23"/>
      <c r="E2199" s="23"/>
    </row>
    <row r="2200" spans="2:5" x14ac:dyDescent="0.25">
      <c r="B2200" s="119"/>
      <c r="C2200" s="8"/>
      <c r="D2200" s="23"/>
      <c r="E2200" s="23"/>
    </row>
    <row r="2201" spans="2:5" x14ac:dyDescent="0.25">
      <c r="B2201" s="119"/>
      <c r="C2201" s="8"/>
      <c r="D2201" s="23"/>
      <c r="E2201" s="23"/>
    </row>
    <row r="2202" spans="2:5" x14ac:dyDescent="0.25">
      <c r="B2202" s="119"/>
      <c r="C2202" s="8"/>
      <c r="D2202" s="23"/>
      <c r="E2202" s="23"/>
    </row>
    <row r="2203" spans="2:5" x14ac:dyDescent="0.25">
      <c r="B2203" s="119"/>
      <c r="C2203" s="8"/>
      <c r="D2203" s="23"/>
      <c r="E2203" s="23"/>
    </row>
    <row r="2204" spans="2:5" x14ac:dyDescent="0.25">
      <c r="B2204" s="119"/>
      <c r="C2204" s="8"/>
      <c r="D2204" s="23"/>
      <c r="E2204" s="23"/>
    </row>
    <row r="2205" spans="2:5" x14ac:dyDescent="0.25">
      <c r="B2205" s="119"/>
      <c r="C2205" s="8"/>
      <c r="D2205" s="23"/>
      <c r="E2205" s="23"/>
    </row>
    <row r="2206" spans="2:5" x14ac:dyDescent="0.25">
      <c r="B2206" s="119"/>
      <c r="C2206" s="8"/>
      <c r="D2206" s="23"/>
      <c r="E2206" s="23"/>
    </row>
    <row r="2207" spans="2:5" x14ac:dyDescent="0.25">
      <c r="B2207" s="119"/>
      <c r="C2207" s="8"/>
      <c r="D2207" s="23"/>
      <c r="E2207" s="23"/>
    </row>
    <row r="2208" spans="2:5" x14ac:dyDescent="0.25">
      <c r="B2208" s="119"/>
      <c r="C2208" s="8"/>
      <c r="D2208" s="23"/>
      <c r="E2208" s="23"/>
    </row>
    <row r="2209" spans="2:5" x14ac:dyDescent="0.25">
      <c r="B2209" s="119"/>
      <c r="C2209" s="8"/>
      <c r="D2209" s="23"/>
      <c r="E2209" s="23"/>
    </row>
    <row r="2210" spans="2:5" x14ac:dyDescent="0.25">
      <c r="B2210" s="119"/>
      <c r="C2210" s="8"/>
      <c r="D2210" s="23"/>
      <c r="E2210" s="23"/>
    </row>
    <row r="2211" spans="2:5" x14ac:dyDescent="0.25">
      <c r="B2211" s="119"/>
      <c r="C2211" s="8"/>
      <c r="D2211" s="23"/>
      <c r="E2211" s="23"/>
    </row>
    <row r="2212" spans="2:5" x14ac:dyDescent="0.25">
      <c r="B2212" s="119"/>
      <c r="C2212" s="8"/>
      <c r="D2212" s="23"/>
      <c r="E2212" s="23"/>
    </row>
    <row r="2213" spans="2:5" x14ac:dyDescent="0.25">
      <c r="B2213" s="119"/>
      <c r="C2213" s="8"/>
      <c r="D2213" s="23"/>
      <c r="E2213" s="23"/>
    </row>
    <row r="2214" spans="2:5" x14ac:dyDescent="0.25">
      <c r="B2214" s="119"/>
      <c r="C2214" s="8"/>
      <c r="D2214" s="23"/>
      <c r="E2214" s="23"/>
    </row>
    <row r="2215" spans="2:5" x14ac:dyDescent="0.25">
      <c r="B2215" s="119"/>
      <c r="C2215" s="8"/>
      <c r="D2215" s="23"/>
      <c r="E2215" s="23"/>
    </row>
    <row r="2216" spans="2:5" x14ac:dyDescent="0.25">
      <c r="B2216" s="119"/>
      <c r="C2216" s="8"/>
      <c r="D2216" s="23"/>
      <c r="E2216" s="23"/>
    </row>
    <row r="2217" spans="2:5" x14ac:dyDescent="0.25">
      <c r="B2217" s="119"/>
      <c r="C2217" s="8"/>
      <c r="D2217" s="23"/>
      <c r="E2217" s="23"/>
    </row>
    <row r="2218" spans="2:5" x14ac:dyDescent="0.25">
      <c r="B2218" s="119"/>
      <c r="C2218" s="8"/>
      <c r="D2218" s="23"/>
      <c r="E2218" s="23"/>
    </row>
    <row r="2219" spans="2:5" x14ac:dyDescent="0.25">
      <c r="B2219" s="119"/>
      <c r="C2219" s="8"/>
      <c r="D2219" s="23"/>
      <c r="E2219" s="23"/>
    </row>
    <row r="2220" spans="2:5" x14ac:dyDescent="0.25">
      <c r="B2220" s="119"/>
      <c r="C2220" s="8"/>
      <c r="D2220" s="23"/>
      <c r="E2220" s="23"/>
    </row>
    <row r="2221" spans="2:5" x14ac:dyDescent="0.25">
      <c r="B2221" s="119"/>
      <c r="C2221" s="8"/>
      <c r="D2221" s="23"/>
      <c r="E2221" s="23"/>
    </row>
    <row r="2222" spans="2:5" x14ac:dyDescent="0.25">
      <c r="B2222" s="119"/>
      <c r="C2222" s="8"/>
      <c r="D2222" s="23"/>
      <c r="E2222" s="23"/>
    </row>
    <row r="2223" spans="2:5" x14ac:dyDescent="0.25">
      <c r="B2223" s="119"/>
      <c r="C2223" s="8"/>
      <c r="D2223" s="23"/>
      <c r="E2223" s="23"/>
    </row>
    <row r="2224" spans="2:5" x14ac:dyDescent="0.25">
      <c r="B2224" s="119"/>
      <c r="C2224" s="8"/>
      <c r="D2224" s="23"/>
      <c r="E2224" s="23"/>
    </row>
    <row r="2225" spans="2:5" x14ac:dyDescent="0.25">
      <c r="B2225" s="119"/>
      <c r="C2225" s="8"/>
      <c r="D2225" s="23"/>
      <c r="E2225" s="23"/>
    </row>
    <row r="2226" spans="2:5" x14ac:dyDescent="0.25">
      <c r="B2226" s="119"/>
      <c r="C2226" s="8"/>
      <c r="D2226" s="23"/>
      <c r="E2226" s="23"/>
    </row>
    <row r="2227" spans="2:5" x14ac:dyDescent="0.25">
      <c r="B2227" s="119"/>
      <c r="C2227" s="8"/>
      <c r="D2227" s="23"/>
      <c r="E2227" s="23"/>
    </row>
    <row r="2228" spans="2:5" x14ac:dyDescent="0.25">
      <c r="B2228" s="119"/>
      <c r="C2228" s="8"/>
      <c r="D2228" s="23"/>
      <c r="E2228" s="23"/>
    </row>
    <row r="2229" spans="2:5" x14ac:dyDescent="0.25">
      <c r="B2229" s="119"/>
      <c r="C2229" s="8"/>
      <c r="D2229" s="23"/>
      <c r="E2229" s="23"/>
    </row>
    <row r="2230" spans="2:5" x14ac:dyDescent="0.25">
      <c r="B2230" s="119"/>
      <c r="C2230" s="8"/>
      <c r="D2230" s="23"/>
      <c r="E2230" s="23"/>
    </row>
    <row r="2231" spans="2:5" x14ac:dyDescent="0.25">
      <c r="B2231" s="119"/>
      <c r="C2231" s="8"/>
      <c r="D2231" s="23"/>
      <c r="E2231" s="23"/>
    </row>
    <row r="2232" spans="2:5" x14ac:dyDescent="0.25">
      <c r="B2232" s="119"/>
      <c r="C2232" s="8"/>
      <c r="D2232" s="23"/>
      <c r="E2232" s="23"/>
    </row>
    <row r="2233" spans="2:5" x14ac:dyDescent="0.25">
      <c r="B2233" s="119"/>
      <c r="C2233" s="8"/>
      <c r="D2233" s="23"/>
      <c r="E2233" s="23"/>
    </row>
    <row r="2234" spans="2:5" x14ac:dyDescent="0.25">
      <c r="B2234" s="119"/>
      <c r="C2234" s="8"/>
      <c r="D2234" s="23"/>
      <c r="E2234" s="23"/>
    </row>
    <row r="2235" spans="2:5" x14ac:dyDescent="0.25">
      <c r="B2235" s="119"/>
      <c r="C2235" s="8"/>
      <c r="D2235" s="23"/>
      <c r="E2235" s="23"/>
    </row>
    <row r="2236" spans="2:5" x14ac:dyDescent="0.25">
      <c r="B2236" s="119"/>
      <c r="C2236" s="8"/>
      <c r="D2236" s="23"/>
      <c r="E2236" s="23"/>
    </row>
    <row r="2237" spans="2:5" x14ac:dyDescent="0.25">
      <c r="B2237" s="119"/>
      <c r="C2237" s="8"/>
      <c r="D2237" s="23"/>
      <c r="E2237" s="23"/>
    </row>
    <row r="2238" spans="2:5" x14ac:dyDescent="0.25">
      <c r="B2238" s="119"/>
      <c r="C2238" s="8"/>
      <c r="D2238" s="23"/>
      <c r="E2238" s="23"/>
    </row>
    <row r="2239" spans="2:5" x14ac:dyDescent="0.25">
      <c r="B2239" s="119"/>
      <c r="C2239" s="8"/>
      <c r="D2239" s="23"/>
      <c r="E2239" s="23"/>
    </row>
    <row r="2240" spans="2:5" x14ac:dyDescent="0.25">
      <c r="B2240" s="119"/>
      <c r="C2240" s="8"/>
      <c r="D2240" s="23"/>
      <c r="E2240" s="23"/>
    </row>
    <row r="2241" spans="2:5" x14ac:dyDescent="0.25">
      <c r="B2241" s="119"/>
      <c r="C2241" s="8"/>
      <c r="D2241" s="23"/>
      <c r="E2241" s="23"/>
    </row>
  </sheetData>
  <mergeCells count="5">
    <mergeCell ref="A8:F8"/>
    <mergeCell ref="D5:F5"/>
    <mergeCell ref="D4:F4"/>
    <mergeCell ref="D1:F1"/>
    <mergeCell ref="D2:F2"/>
  </mergeCells>
  <phoneticPr fontId="29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"/>
  <sheetViews>
    <sheetView view="pageBreakPreview" topLeftCell="A48" zoomScale="90" zoomScaleNormal="75" zoomScaleSheetLayoutView="90" workbookViewId="0">
      <selection activeCell="E65" sqref="E65"/>
    </sheetView>
  </sheetViews>
  <sheetFormatPr defaultColWidth="9.28515625" defaultRowHeight="18.75" x14ac:dyDescent="0.2"/>
  <cols>
    <col min="1" max="1" width="80.42578125" style="4" customWidth="1"/>
    <col min="2" max="2" width="9.7109375" style="4" customWidth="1"/>
    <col min="3" max="3" width="9.42578125" style="4" customWidth="1"/>
    <col min="4" max="4" width="15.7109375" style="4" customWidth="1"/>
    <col min="5" max="5" width="16.5703125" style="117" customWidth="1"/>
    <col min="6" max="6" width="15.5703125" style="4" customWidth="1"/>
    <col min="7" max="16384" width="9.28515625" style="4"/>
  </cols>
  <sheetData>
    <row r="1" spans="1:8" hidden="1" x14ac:dyDescent="0.2"/>
    <row r="2" spans="1:8" ht="20.25" customHeight="1" x14ac:dyDescent="0.25">
      <c r="D2" s="684" t="s">
        <v>585</v>
      </c>
      <c r="E2" s="681"/>
      <c r="F2" s="681"/>
    </row>
    <row r="3" spans="1:8" ht="122.25" customHeight="1" x14ac:dyDescent="0.2">
      <c r="D3" s="685" t="s">
        <v>810</v>
      </c>
      <c r="E3" s="685"/>
      <c r="F3" s="685"/>
    </row>
    <row r="4" spans="1:8" ht="22.5" customHeight="1" x14ac:dyDescent="0.25">
      <c r="B4" s="425"/>
      <c r="C4" s="425"/>
      <c r="D4" s="684" t="s">
        <v>811</v>
      </c>
      <c r="E4" s="681"/>
      <c r="F4" s="681"/>
    </row>
    <row r="5" spans="1:8" ht="96" customHeight="1" x14ac:dyDescent="0.2">
      <c r="B5" s="289"/>
      <c r="C5" s="289"/>
      <c r="D5" s="685" t="s">
        <v>809</v>
      </c>
      <c r="E5" s="686"/>
      <c r="F5" s="686"/>
    </row>
    <row r="6" spans="1:8" ht="18.75" customHeight="1" x14ac:dyDescent="0.25">
      <c r="B6" s="690"/>
      <c r="C6" s="691"/>
      <c r="D6" s="691"/>
      <c r="E6" s="691"/>
      <c r="F6" s="692"/>
    </row>
    <row r="7" spans="1:8" ht="12.75" x14ac:dyDescent="0.2">
      <c r="D7" s="695"/>
      <c r="E7" s="695"/>
    </row>
    <row r="8" spans="1:8" ht="12.75" x14ac:dyDescent="0.2">
      <c r="D8" s="468"/>
      <c r="E8" s="468"/>
    </row>
    <row r="9" spans="1:8" ht="78.75" customHeight="1" x14ac:dyDescent="0.2">
      <c r="A9" s="697" t="s">
        <v>770</v>
      </c>
      <c r="B9" s="697"/>
      <c r="C9" s="697"/>
      <c r="D9" s="681"/>
      <c r="E9" s="681"/>
      <c r="F9" s="681"/>
      <c r="G9"/>
      <c r="H9"/>
    </row>
    <row r="10" spans="1:8" ht="4.1500000000000004" hidden="1" customHeight="1" thickBot="1" x14ac:dyDescent="0.25">
      <c r="A10" s="5"/>
      <c r="B10" s="6"/>
      <c r="C10" s="6"/>
      <c r="E10" s="696"/>
      <c r="F10" s="696"/>
      <c r="G10" s="696"/>
      <c r="H10" s="696"/>
    </row>
    <row r="11" spans="1:8" ht="27" customHeight="1" thickBot="1" x14ac:dyDescent="0.25">
      <c r="A11" s="5"/>
      <c r="B11" s="6"/>
      <c r="C11" s="6"/>
      <c r="E11" s="4"/>
      <c r="F11" s="7" t="s">
        <v>147</v>
      </c>
      <c r="G11" s="33"/>
      <c r="H11" s="33"/>
    </row>
    <row r="12" spans="1:8" ht="35.1" customHeight="1" x14ac:dyDescent="0.2">
      <c r="A12" s="698" t="s">
        <v>71</v>
      </c>
      <c r="B12" s="700" t="s">
        <v>0</v>
      </c>
      <c r="C12" s="702" t="s">
        <v>19</v>
      </c>
      <c r="D12" s="704" t="s">
        <v>430</v>
      </c>
      <c r="E12" s="693" t="s">
        <v>605</v>
      </c>
      <c r="F12" s="693" t="s">
        <v>634</v>
      </c>
    </row>
    <row r="13" spans="1:8" ht="13.9" customHeight="1" thickBot="1" x14ac:dyDescent="0.25">
      <c r="A13" s="699"/>
      <c r="B13" s="701"/>
      <c r="C13" s="703"/>
      <c r="D13" s="705"/>
      <c r="E13" s="694"/>
      <c r="F13" s="694"/>
    </row>
    <row r="14" spans="1:8" ht="25.5" customHeight="1" thickBot="1" x14ac:dyDescent="0.25">
      <c r="A14" s="168">
        <v>1</v>
      </c>
      <c r="B14" s="169">
        <v>2</v>
      </c>
      <c r="C14" s="170">
        <v>3</v>
      </c>
      <c r="D14" s="167">
        <v>4</v>
      </c>
      <c r="E14" s="171">
        <v>5</v>
      </c>
      <c r="F14" s="167">
        <v>6</v>
      </c>
    </row>
    <row r="15" spans="1:8" ht="33" customHeight="1" x14ac:dyDescent="0.2">
      <c r="A15" s="232" t="s">
        <v>24</v>
      </c>
      <c r="B15" s="250" t="s">
        <v>28</v>
      </c>
      <c r="C15" s="251"/>
      <c r="D15" s="243">
        <f>D16+D17+D18+D19+D22+D20+D21</f>
        <v>492815.9</v>
      </c>
      <c r="E15" s="243">
        <f t="shared" ref="E15:F15" si="0">E16+E17+E18+E19+E22+E20</f>
        <v>340551.4</v>
      </c>
      <c r="F15" s="243">
        <f t="shared" si="0"/>
        <v>324465</v>
      </c>
    </row>
    <row r="16" spans="1:8" ht="45" customHeight="1" x14ac:dyDescent="0.2">
      <c r="A16" s="233" t="s">
        <v>52</v>
      </c>
      <c r="B16" s="150" t="s">
        <v>28</v>
      </c>
      <c r="C16" s="151" t="s">
        <v>29</v>
      </c>
      <c r="D16" s="244">
        <f>'Функц. 2025-2027'!F16</f>
        <v>12052.8</v>
      </c>
      <c r="E16" s="163">
        <f>'Функц. 2025-2027'!H16</f>
        <v>3451.3</v>
      </c>
      <c r="F16" s="163">
        <f>'Функц. 2025-2027'!J16</f>
        <v>3451.3</v>
      </c>
    </row>
    <row r="17" spans="1:6" ht="63.75" customHeight="1" x14ac:dyDescent="0.2">
      <c r="A17" s="233" t="s">
        <v>53</v>
      </c>
      <c r="B17" s="150" t="s">
        <v>28</v>
      </c>
      <c r="C17" s="151" t="s">
        <v>6</v>
      </c>
      <c r="D17" s="244">
        <f>'Функц. 2025-2027'!F23</f>
        <v>19609.3</v>
      </c>
      <c r="E17" s="163">
        <f>'Функц. 2025-2027'!H23</f>
        <v>16740.900000000001</v>
      </c>
      <c r="F17" s="163">
        <f>'Функц. 2025-2027'!J23</f>
        <v>16740.900000000001</v>
      </c>
    </row>
    <row r="18" spans="1:6" ht="62.25" customHeight="1" x14ac:dyDescent="0.2">
      <c r="A18" s="233" t="s">
        <v>689</v>
      </c>
      <c r="B18" s="150" t="s">
        <v>28</v>
      </c>
      <c r="C18" s="151" t="s">
        <v>48</v>
      </c>
      <c r="D18" s="244">
        <f>'Функц. 2025-2027'!F47</f>
        <v>134458.09999999998</v>
      </c>
      <c r="E18" s="177">
        <f>'Функц. 2025-2027'!H47</f>
        <v>100872</v>
      </c>
      <c r="F18" s="177">
        <f>'Функц. 2025-2027'!J47</f>
        <v>100785</v>
      </c>
    </row>
    <row r="19" spans="1:6" ht="46.5" customHeight="1" x14ac:dyDescent="0.2">
      <c r="A19" s="233" t="s">
        <v>72</v>
      </c>
      <c r="B19" s="150" t="s">
        <v>28</v>
      </c>
      <c r="C19" s="151" t="s">
        <v>93</v>
      </c>
      <c r="D19" s="244">
        <f>'Функц. 2025-2027'!F90</f>
        <v>43493.4</v>
      </c>
      <c r="E19" s="177">
        <f>'Функц. 2025-2027'!H90</f>
        <v>42805.3</v>
      </c>
      <c r="F19" s="177">
        <f>'Функц. 2025-2027'!J90</f>
        <v>43070</v>
      </c>
    </row>
    <row r="20" spans="1:6" ht="46.5" customHeight="1" x14ac:dyDescent="0.2">
      <c r="A20" s="275" t="s">
        <v>581</v>
      </c>
      <c r="B20" s="274" t="s">
        <v>28</v>
      </c>
      <c r="C20" s="156" t="s">
        <v>7</v>
      </c>
      <c r="D20" s="244">
        <f>'Функц. 2025-2027'!F122</f>
        <v>4837.3999999999996</v>
      </c>
      <c r="E20" s="177">
        <f>'Функц. 2025-2027'!H122</f>
        <v>0</v>
      </c>
      <c r="F20" s="177">
        <f>'Функц. 2025-2027'!J122</f>
        <v>0</v>
      </c>
    </row>
    <row r="21" spans="1:6" ht="31.5" customHeight="1" x14ac:dyDescent="0.2">
      <c r="A21" s="420" t="s">
        <v>908</v>
      </c>
      <c r="B21" s="274" t="s">
        <v>28</v>
      </c>
      <c r="C21" s="156" t="s">
        <v>907</v>
      </c>
      <c r="D21" s="244">
        <f>'Функц. 2025-2027'!F131</f>
        <v>1000</v>
      </c>
      <c r="E21" s="177">
        <f>'Функц. 2025-2027'!H131</f>
        <v>0</v>
      </c>
      <c r="F21" s="177">
        <f>'Функц. 2025-2027'!J131</f>
        <v>0</v>
      </c>
    </row>
    <row r="22" spans="1:6" ht="34.5" customHeight="1" x14ac:dyDescent="0.2">
      <c r="A22" s="233" t="s">
        <v>150</v>
      </c>
      <c r="B22" s="150" t="s">
        <v>28</v>
      </c>
      <c r="C22" s="151">
        <v>13</v>
      </c>
      <c r="D22" s="244">
        <f>'Функц. 2025-2027'!F132</f>
        <v>277364.90000000002</v>
      </c>
      <c r="E22" s="177">
        <f>'Функц. 2025-2027'!H132</f>
        <v>176681.9</v>
      </c>
      <c r="F22" s="177">
        <f>'Функц. 2025-2027'!J132</f>
        <v>160417.79999999999</v>
      </c>
    </row>
    <row r="23" spans="1:6" ht="25.5" customHeight="1" x14ac:dyDescent="0.2">
      <c r="A23" s="234" t="s">
        <v>10</v>
      </c>
      <c r="B23" s="152" t="s">
        <v>29</v>
      </c>
      <c r="C23" s="149"/>
      <c r="D23" s="245">
        <f>D24+D25</f>
        <v>5234.8999999999996</v>
      </c>
      <c r="E23" s="162">
        <f>E24+E25</f>
        <v>5095.3</v>
      </c>
      <c r="F23" s="162">
        <f>F24+F25</f>
        <v>5267.1</v>
      </c>
    </row>
    <row r="24" spans="1:6" ht="23.25" customHeight="1" x14ac:dyDescent="0.2">
      <c r="A24" s="235" t="s">
        <v>73</v>
      </c>
      <c r="B24" s="150" t="s">
        <v>29</v>
      </c>
      <c r="C24" s="151" t="s">
        <v>6</v>
      </c>
      <c r="D24" s="244">
        <f>'Функц. 2025-2027'!F229</f>
        <v>4656.3999999999996</v>
      </c>
      <c r="E24" s="177">
        <f>'Функц. 2025-2027'!H229</f>
        <v>5021.3</v>
      </c>
      <c r="F24" s="177">
        <f>'Функц. 2025-2027'!J229</f>
        <v>5193.1000000000004</v>
      </c>
    </row>
    <row r="25" spans="1:6" ht="26.25" customHeight="1" x14ac:dyDescent="0.2">
      <c r="A25" s="233" t="s">
        <v>74</v>
      </c>
      <c r="B25" s="150" t="s">
        <v>29</v>
      </c>
      <c r="C25" s="151" t="s">
        <v>48</v>
      </c>
      <c r="D25" s="244">
        <f>'Функц. 2025-2027'!F236</f>
        <v>578.5</v>
      </c>
      <c r="E25" s="177">
        <f>'Функц. 2025-2027'!H236</f>
        <v>74</v>
      </c>
      <c r="F25" s="177">
        <f>'Функц. 2025-2027'!J236</f>
        <v>74</v>
      </c>
    </row>
    <row r="26" spans="1:6" ht="42" customHeight="1" x14ac:dyDescent="0.2">
      <c r="A26" s="234" t="s">
        <v>45</v>
      </c>
      <c r="B26" s="152" t="s">
        <v>6</v>
      </c>
      <c r="C26" s="149"/>
      <c r="D26" s="245">
        <f>D27+D29+D28</f>
        <v>50661.4</v>
      </c>
      <c r="E26" s="162">
        <f>E27+E29+E28</f>
        <v>24976.799999999999</v>
      </c>
      <c r="F26" s="162">
        <f>F27+F29+F28</f>
        <v>22943.199999999997</v>
      </c>
    </row>
    <row r="27" spans="1:6" ht="42.75" customHeight="1" x14ac:dyDescent="0.2">
      <c r="A27" s="233" t="s">
        <v>363</v>
      </c>
      <c r="B27" s="150" t="s">
        <v>6</v>
      </c>
      <c r="C27" s="151" t="s">
        <v>21</v>
      </c>
      <c r="D27" s="244">
        <f>'Функц. 2025-2027'!F244</f>
        <v>1278.4000000000001</v>
      </c>
      <c r="E27" s="177">
        <f>'Функц. 2025-2027'!H244</f>
        <v>1177</v>
      </c>
      <c r="F27" s="177">
        <f>'Функц. 2025-2027'!J244</f>
        <v>1177</v>
      </c>
    </row>
    <row r="28" spans="1:6" ht="42.75" customHeight="1" x14ac:dyDescent="0.2">
      <c r="A28" s="236" t="s">
        <v>362</v>
      </c>
      <c r="B28" s="150" t="s">
        <v>6</v>
      </c>
      <c r="C28" s="151" t="s">
        <v>35</v>
      </c>
      <c r="D28" s="244">
        <f>'Функц. 2025-2027'!F259</f>
        <v>29493.8</v>
      </c>
      <c r="E28" s="177">
        <f>'Функц. 2025-2027'!H259</f>
        <v>11681</v>
      </c>
      <c r="F28" s="177">
        <f>'Функц. 2025-2027'!J259</f>
        <v>11717</v>
      </c>
    </row>
    <row r="29" spans="1:6" ht="42.75" customHeight="1" x14ac:dyDescent="0.2">
      <c r="A29" s="233" t="s">
        <v>75</v>
      </c>
      <c r="B29" s="150" t="s">
        <v>6</v>
      </c>
      <c r="C29" s="151">
        <v>14</v>
      </c>
      <c r="D29" s="244">
        <f>'Функц. 2025-2027'!F293</f>
        <v>19889.2</v>
      </c>
      <c r="E29" s="177">
        <f>'Функц. 2025-2027'!H293</f>
        <v>12118.8</v>
      </c>
      <c r="F29" s="177">
        <f>'Функц. 2025-2027'!J293</f>
        <v>10049.199999999999</v>
      </c>
    </row>
    <row r="30" spans="1:6" ht="26.25" customHeight="1" x14ac:dyDescent="0.2">
      <c r="A30" s="234" t="s">
        <v>44</v>
      </c>
      <c r="B30" s="152" t="s">
        <v>48</v>
      </c>
      <c r="C30" s="149"/>
      <c r="D30" s="245">
        <f>D32+D35+D33+D34+D31</f>
        <v>160862.79999999999</v>
      </c>
      <c r="E30" s="162">
        <f>E32+E35+E33+E34+E31</f>
        <v>129237.7</v>
      </c>
      <c r="F30" s="162">
        <f>F32+F35+F33+F34+F31</f>
        <v>135586.9</v>
      </c>
    </row>
    <row r="31" spans="1:6" ht="26.25" customHeight="1" x14ac:dyDescent="0.3">
      <c r="A31" s="237" t="s">
        <v>146</v>
      </c>
      <c r="B31" s="153" t="s">
        <v>48</v>
      </c>
      <c r="C31" s="154" t="s">
        <v>4</v>
      </c>
      <c r="D31" s="244">
        <f>'Функц. 2025-2027'!F310</f>
        <v>919</v>
      </c>
      <c r="E31" s="177">
        <f>'Функц. 2025-2027'!H310</f>
        <v>919</v>
      </c>
      <c r="F31" s="177">
        <f>'Функц. 2025-2027'!J310</f>
        <v>919</v>
      </c>
    </row>
    <row r="32" spans="1:6" ht="27.75" customHeight="1" x14ac:dyDescent="0.2">
      <c r="A32" s="233" t="s">
        <v>76</v>
      </c>
      <c r="B32" s="150" t="s">
        <v>48</v>
      </c>
      <c r="C32" s="151" t="s">
        <v>15</v>
      </c>
      <c r="D32" s="244">
        <f>'Функц. 2025-2027'!F319</f>
        <v>34883.700000000004</v>
      </c>
      <c r="E32" s="177">
        <f>'Функц. 2025-2027'!H319</f>
        <v>30338.7</v>
      </c>
      <c r="F32" s="177">
        <f>'Функц. 2025-2027'!J319</f>
        <v>30337.899999999998</v>
      </c>
    </row>
    <row r="33" spans="1:6" ht="24" customHeight="1" x14ac:dyDescent="0.2">
      <c r="A33" s="235" t="s">
        <v>77</v>
      </c>
      <c r="B33" s="150" t="s">
        <v>48</v>
      </c>
      <c r="C33" s="151" t="s">
        <v>21</v>
      </c>
      <c r="D33" s="244">
        <f>'Функц. 2025-2027'!F334</f>
        <v>119753.4</v>
      </c>
      <c r="E33" s="177">
        <f>'Функц. 2025-2027'!H334</f>
        <v>94600</v>
      </c>
      <c r="F33" s="177">
        <f>'Функц. 2025-2027'!J334</f>
        <v>103953</v>
      </c>
    </row>
    <row r="34" spans="1:6" ht="24" customHeight="1" x14ac:dyDescent="0.2">
      <c r="A34" s="235" t="s">
        <v>96</v>
      </c>
      <c r="B34" s="150" t="s">
        <v>48</v>
      </c>
      <c r="C34" s="151">
        <v>10</v>
      </c>
      <c r="D34" s="244">
        <f>'Функц. 2025-2027'!F365</f>
        <v>3822</v>
      </c>
      <c r="E34" s="177">
        <f>'Функц. 2025-2027'!H365</f>
        <v>3003</v>
      </c>
      <c r="F34" s="177">
        <f>'Функц. 2025-2027'!J365</f>
        <v>0</v>
      </c>
    </row>
    <row r="35" spans="1:6" ht="26.25" customHeight="1" x14ac:dyDescent="0.2">
      <c r="A35" s="233" t="s">
        <v>78</v>
      </c>
      <c r="B35" s="150" t="s">
        <v>48</v>
      </c>
      <c r="C35" s="151">
        <v>12</v>
      </c>
      <c r="D35" s="244">
        <f>'Функц. 2025-2027'!F380</f>
        <v>1484.7</v>
      </c>
      <c r="E35" s="177">
        <f>'Функц. 2025-2027'!H380</f>
        <v>377</v>
      </c>
      <c r="F35" s="177">
        <f>'Функц. 2025-2027'!J380</f>
        <v>377</v>
      </c>
    </row>
    <row r="36" spans="1:6" ht="31.5" customHeight="1" x14ac:dyDescent="0.2">
      <c r="A36" s="234" t="s">
        <v>2</v>
      </c>
      <c r="B36" s="152" t="s">
        <v>4</v>
      </c>
      <c r="C36" s="149"/>
      <c r="D36" s="245">
        <f>D37+D39+D40+D38</f>
        <v>1963746.3000000003</v>
      </c>
      <c r="E36" s="162">
        <f>E37+E39+E40+E38</f>
        <v>1121602.3</v>
      </c>
      <c r="F36" s="162">
        <f>F37+F39+F40+F38</f>
        <v>970699.89999999991</v>
      </c>
    </row>
    <row r="37" spans="1:6" ht="24.75" customHeight="1" x14ac:dyDescent="0.2">
      <c r="A37" s="233" t="s">
        <v>79</v>
      </c>
      <c r="B37" s="150" t="s">
        <v>4</v>
      </c>
      <c r="C37" s="151" t="s">
        <v>28</v>
      </c>
      <c r="D37" s="244">
        <f>'Функц. 2025-2027'!F397</f>
        <v>27643</v>
      </c>
      <c r="E37" s="177">
        <f>'Функц. 2025-2027'!H397</f>
        <v>8300</v>
      </c>
      <c r="F37" s="177">
        <f>'Функц. 2025-2027'!J397</f>
        <v>8300</v>
      </c>
    </row>
    <row r="38" spans="1:6" ht="30.75" customHeight="1" x14ac:dyDescent="0.2">
      <c r="A38" s="236" t="s">
        <v>322</v>
      </c>
      <c r="B38" s="155" t="s">
        <v>4</v>
      </c>
      <c r="C38" s="156" t="s">
        <v>29</v>
      </c>
      <c r="D38" s="244">
        <f>'Функц. 2025-2027'!F416</f>
        <v>1010648.2000000001</v>
      </c>
      <c r="E38" s="177">
        <f>'Функц. 2025-2027'!H416</f>
        <v>669118.1</v>
      </c>
      <c r="F38" s="177">
        <f>'Функц. 2025-2027'!J416</f>
        <v>240743.3</v>
      </c>
    </row>
    <row r="39" spans="1:6" ht="32.25" customHeight="1" x14ac:dyDescent="0.2">
      <c r="A39" s="233" t="s">
        <v>80</v>
      </c>
      <c r="B39" s="150" t="s">
        <v>4</v>
      </c>
      <c r="C39" s="151" t="s">
        <v>6</v>
      </c>
      <c r="D39" s="244">
        <f>'Функц. 2025-2027'!F482</f>
        <v>894502.3</v>
      </c>
      <c r="E39" s="177">
        <f>'Функц. 2025-2027'!H482</f>
        <v>413974.4</v>
      </c>
      <c r="F39" s="177">
        <f>'Функц. 2025-2027'!J482</f>
        <v>691441.2</v>
      </c>
    </row>
    <row r="40" spans="1:6" ht="31.5" customHeight="1" thickBot="1" x14ac:dyDescent="0.25">
      <c r="A40" s="233" t="s">
        <v>81</v>
      </c>
      <c r="B40" s="150" t="s">
        <v>4</v>
      </c>
      <c r="C40" s="151" t="s">
        <v>4</v>
      </c>
      <c r="D40" s="244">
        <f>'Функц. 2025-2027'!F575</f>
        <v>30952.800000000003</v>
      </c>
      <c r="E40" s="177">
        <f>'Функц. 2025-2027'!H575</f>
        <v>30209.8</v>
      </c>
      <c r="F40" s="177">
        <f>'Функц. 2025-2027'!J575</f>
        <v>30215.399999999998</v>
      </c>
    </row>
    <row r="41" spans="1:6" ht="31.5" customHeight="1" thickBot="1" x14ac:dyDescent="0.25">
      <c r="A41" s="238">
        <v>1</v>
      </c>
      <c r="B41" s="165">
        <v>2</v>
      </c>
      <c r="C41" s="166">
        <v>3</v>
      </c>
      <c r="D41" s="246">
        <v>4</v>
      </c>
      <c r="E41" s="179">
        <v>5</v>
      </c>
      <c r="F41" s="179">
        <v>6</v>
      </c>
    </row>
    <row r="42" spans="1:6" ht="24.75" customHeight="1" x14ac:dyDescent="0.3">
      <c r="A42" s="239" t="s">
        <v>38</v>
      </c>
      <c r="B42" s="157" t="s">
        <v>93</v>
      </c>
      <c r="C42" s="158"/>
      <c r="D42" s="245">
        <f>D43+D44</f>
        <v>825104</v>
      </c>
      <c r="E42" s="245">
        <f>E43+E44</f>
        <v>134</v>
      </c>
      <c r="F42" s="245">
        <f>F43+F44</f>
        <v>134</v>
      </c>
    </row>
    <row r="43" spans="1:6" ht="24.75" customHeight="1" x14ac:dyDescent="0.2">
      <c r="A43" s="275" t="s">
        <v>580</v>
      </c>
      <c r="B43" s="273" t="s">
        <v>93</v>
      </c>
      <c r="C43" s="274" t="s">
        <v>29</v>
      </c>
      <c r="D43" s="276">
        <f>'Функц. 2025-2027'!F605</f>
        <v>824970</v>
      </c>
      <c r="E43" s="276">
        <f>'Функц. 2025-2027'!H605</f>
        <v>0</v>
      </c>
      <c r="F43" s="276">
        <f>'Функц. 2025-2027'!J605</f>
        <v>0</v>
      </c>
    </row>
    <row r="44" spans="1:6" ht="24.75" customHeight="1" x14ac:dyDescent="0.3">
      <c r="A44" s="340" t="s">
        <v>681</v>
      </c>
      <c r="B44" s="341" t="s">
        <v>93</v>
      </c>
      <c r="C44" s="342" t="s">
        <v>4</v>
      </c>
      <c r="D44" s="339">
        <f>'Функц. 2025-2027'!F615</f>
        <v>134</v>
      </c>
      <c r="E44" s="276">
        <f>'Функц. 2025-2027'!H615</f>
        <v>134</v>
      </c>
      <c r="F44" s="276">
        <f>'Функц. 2025-2027'!J615</f>
        <v>134</v>
      </c>
    </row>
    <row r="45" spans="1:6" ht="26.25" customHeight="1" x14ac:dyDescent="0.2">
      <c r="A45" s="240" t="s">
        <v>3</v>
      </c>
      <c r="B45" s="152" t="s">
        <v>7</v>
      </c>
      <c r="C45" s="159"/>
      <c r="D45" s="247">
        <f>D46+D47+D49+D50+D48</f>
        <v>1482097.7000000002</v>
      </c>
      <c r="E45" s="180">
        <f>E46+E47+E49+E50+E48</f>
        <v>1344677</v>
      </c>
      <c r="F45" s="180">
        <f>F46+F47+F49+F50+F48</f>
        <v>1341475.8</v>
      </c>
    </row>
    <row r="46" spans="1:6" ht="30" customHeight="1" x14ac:dyDescent="0.2">
      <c r="A46" s="233" t="s">
        <v>82</v>
      </c>
      <c r="B46" s="160" t="s">
        <v>7</v>
      </c>
      <c r="C46" s="151" t="s">
        <v>28</v>
      </c>
      <c r="D46" s="244">
        <f>'Функц. 2025-2027'!F623</f>
        <v>474623.4</v>
      </c>
      <c r="E46" s="163">
        <f>'Функц. 2025-2027'!H623</f>
        <v>461823.3</v>
      </c>
      <c r="F46" s="163">
        <f>'Функц. 2025-2027'!J623</f>
        <v>467723.5</v>
      </c>
    </row>
    <row r="47" spans="1:6" ht="24.75" customHeight="1" x14ac:dyDescent="0.2">
      <c r="A47" s="233" t="s">
        <v>83</v>
      </c>
      <c r="B47" s="160" t="s">
        <v>7</v>
      </c>
      <c r="C47" s="151" t="s">
        <v>29</v>
      </c>
      <c r="D47" s="248">
        <f>'Функц. 2025-2027'!F647</f>
        <v>810790.70000000007</v>
      </c>
      <c r="E47" s="164">
        <f>'Функц. 2025-2027'!H647</f>
        <v>727748.5</v>
      </c>
      <c r="F47" s="164">
        <f>'Функц. 2025-2027'!J647</f>
        <v>716115.5</v>
      </c>
    </row>
    <row r="48" spans="1:6" ht="27.75" customHeight="1" x14ac:dyDescent="0.2">
      <c r="A48" s="233" t="s">
        <v>145</v>
      </c>
      <c r="B48" s="160" t="s">
        <v>7</v>
      </c>
      <c r="C48" s="151" t="s">
        <v>6</v>
      </c>
      <c r="D48" s="244">
        <f>'Функц. 2025-2027'!F715</f>
        <v>159793.29999999999</v>
      </c>
      <c r="E48" s="177">
        <f>'Функц. 2025-2027'!H715</f>
        <v>119938.2</v>
      </c>
      <c r="F48" s="177">
        <f>'Функц. 2025-2027'!J715</f>
        <v>122324.3</v>
      </c>
    </row>
    <row r="49" spans="1:6" ht="25.5" customHeight="1" x14ac:dyDescent="0.2">
      <c r="A49" s="233" t="s">
        <v>131</v>
      </c>
      <c r="B49" s="150" t="s">
        <v>7</v>
      </c>
      <c r="C49" s="151" t="s">
        <v>7</v>
      </c>
      <c r="D49" s="244">
        <f>'Функц. 2025-2027'!F760</f>
        <v>2877</v>
      </c>
      <c r="E49" s="177">
        <f>'Функц. 2025-2027'!H760</f>
        <v>2157.9</v>
      </c>
      <c r="F49" s="177">
        <f>'Функц. 2025-2027'!J760</f>
        <v>2246.4</v>
      </c>
    </row>
    <row r="50" spans="1:6" ht="28.5" customHeight="1" x14ac:dyDescent="0.2">
      <c r="A50" s="233" t="s">
        <v>84</v>
      </c>
      <c r="B50" s="150" t="s">
        <v>7</v>
      </c>
      <c r="C50" s="151" t="s">
        <v>21</v>
      </c>
      <c r="D50" s="244">
        <f>'Функц. 2025-2027'!F784</f>
        <v>34013.300000000003</v>
      </c>
      <c r="E50" s="177">
        <f>'Функц. 2025-2027'!H784</f>
        <v>33009.100000000006</v>
      </c>
      <c r="F50" s="177">
        <f>'Функц. 2025-2027'!J784</f>
        <v>33066.100000000006</v>
      </c>
    </row>
    <row r="51" spans="1:6" ht="37.35" customHeight="1" x14ac:dyDescent="0.2">
      <c r="A51" s="234" t="s">
        <v>20</v>
      </c>
      <c r="B51" s="152" t="s">
        <v>15</v>
      </c>
      <c r="C51" s="159"/>
      <c r="D51" s="245">
        <f>D52</f>
        <v>222840.3</v>
      </c>
      <c r="E51" s="162">
        <f>E52</f>
        <v>168096</v>
      </c>
      <c r="F51" s="162">
        <f>F52</f>
        <v>153265.90000000002</v>
      </c>
    </row>
    <row r="52" spans="1:6" ht="27.75" customHeight="1" x14ac:dyDescent="0.2">
      <c r="A52" s="233" t="s">
        <v>85</v>
      </c>
      <c r="B52" s="150" t="s">
        <v>15</v>
      </c>
      <c r="C52" s="151" t="s">
        <v>28</v>
      </c>
      <c r="D52" s="244">
        <f>'Функц. 2025-2027'!F823</f>
        <v>222840.3</v>
      </c>
      <c r="E52" s="177">
        <f>'Функц. 2025-2027'!H823</f>
        <v>168096</v>
      </c>
      <c r="F52" s="177">
        <f>'Функц. 2025-2027'!J823</f>
        <v>153265.90000000002</v>
      </c>
    </row>
    <row r="53" spans="1:6" ht="27.75" customHeight="1" x14ac:dyDescent="0.2">
      <c r="A53" s="419" t="s">
        <v>744</v>
      </c>
      <c r="B53" s="421" t="s">
        <v>21</v>
      </c>
      <c r="C53" s="422"/>
      <c r="D53" s="245">
        <f>D54</f>
        <v>650</v>
      </c>
      <c r="E53" s="245">
        <f>E54</f>
        <v>0</v>
      </c>
      <c r="F53" s="245">
        <f>F54</f>
        <v>0</v>
      </c>
    </row>
    <row r="54" spans="1:6" ht="27.75" customHeight="1" x14ac:dyDescent="0.2">
      <c r="A54" s="420" t="s">
        <v>745</v>
      </c>
      <c r="B54" s="423" t="s">
        <v>21</v>
      </c>
      <c r="C54" s="424" t="s">
        <v>21</v>
      </c>
      <c r="D54" s="244">
        <f>'Функц. 2025-2027'!F890</f>
        <v>650</v>
      </c>
      <c r="E54" s="177">
        <f>'Функц. 2025-2027'!H890</f>
        <v>0</v>
      </c>
      <c r="F54" s="177">
        <f>'Функц. 2025-2027'!J896</f>
        <v>0</v>
      </c>
    </row>
    <row r="55" spans="1:6" ht="28.5" customHeight="1" x14ac:dyDescent="0.2">
      <c r="A55" s="234" t="s">
        <v>92</v>
      </c>
      <c r="B55" s="152" t="s">
        <v>35</v>
      </c>
      <c r="C55" s="159"/>
      <c r="D55" s="245">
        <f>D56+D59+D58+D57</f>
        <v>55115.3</v>
      </c>
      <c r="E55" s="162">
        <f>E56+E59+E58+E57</f>
        <v>56773.4</v>
      </c>
      <c r="F55" s="162">
        <f>F56+F59+F58+F57</f>
        <v>54173.5</v>
      </c>
    </row>
    <row r="56" spans="1:6" ht="20.25" customHeight="1" x14ac:dyDescent="0.2">
      <c r="A56" s="233" t="s">
        <v>86</v>
      </c>
      <c r="B56" s="150">
        <v>10</v>
      </c>
      <c r="C56" s="151" t="s">
        <v>28</v>
      </c>
      <c r="D56" s="244">
        <f>'Функц. 2025-2027'!F898</f>
        <v>8750</v>
      </c>
      <c r="E56" s="177">
        <f>'Функц. 2025-2027'!H898</f>
        <v>9007</v>
      </c>
      <c r="F56" s="177">
        <f>'Функц. 2025-2027'!J898</f>
        <v>9007</v>
      </c>
    </row>
    <row r="57" spans="1:6" ht="20.25" customHeight="1" x14ac:dyDescent="0.3">
      <c r="A57" s="208" t="s">
        <v>453</v>
      </c>
      <c r="B57" s="155">
        <v>10</v>
      </c>
      <c r="C57" s="156" t="s">
        <v>6</v>
      </c>
      <c r="D57" s="244">
        <f>'Функц. 2025-2027'!F905</f>
        <v>359</v>
      </c>
      <c r="E57" s="177">
        <f>'Функц. 2025-2027'!H905</f>
        <v>2990</v>
      </c>
      <c r="F57" s="177">
        <f>'Функц. 2025-2027'!J905</f>
        <v>0</v>
      </c>
    </row>
    <row r="58" spans="1:6" ht="27.75" customHeight="1" x14ac:dyDescent="0.2">
      <c r="A58" s="233" t="s">
        <v>87</v>
      </c>
      <c r="B58" s="150">
        <v>10</v>
      </c>
      <c r="C58" s="151" t="s">
        <v>48</v>
      </c>
      <c r="D58" s="244">
        <f>'Функц. 2025-2027'!F916</f>
        <v>45866.3</v>
      </c>
      <c r="E58" s="177">
        <f>'Функц. 2025-2027'!H916</f>
        <v>44636.4</v>
      </c>
      <c r="F58" s="177">
        <f>'Функц. 2025-2027'!J916</f>
        <v>45026.5</v>
      </c>
    </row>
    <row r="59" spans="1:6" ht="28.5" customHeight="1" x14ac:dyDescent="0.2">
      <c r="A59" s="233" t="s">
        <v>88</v>
      </c>
      <c r="B59" s="150">
        <v>10</v>
      </c>
      <c r="C59" s="151" t="s">
        <v>93</v>
      </c>
      <c r="D59" s="244">
        <f>'Функц. 2025-2027'!F943</f>
        <v>140</v>
      </c>
      <c r="E59" s="177">
        <f>'Функц. 2025-2027'!H943</f>
        <v>140</v>
      </c>
      <c r="F59" s="177">
        <f>'Функц. 2025-2027'!J943</f>
        <v>140</v>
      </c>
    </row>
    <row r="60" spans="1:6" ht="34.35" customHeight="1" x14ac:dyDescent="0.2">
      <c r="A60" s="234" t="s">
        <v>12</v>
      </c>
      <c r="B60" s="161">
        <v>11</v>
      </c>
      <c r="C60" s="149"/>
      <c r="D60" s="245">
        <f>D61+D62</f>
        <v>141138.6</v>
      </c>
      <c r="E60" s="245">
        <f>E61+E62</f>
        <v>124375.9</v>
      </c>
      <c r="F60" s="245">
        <f>F61+F62</f>
        <v>127463.3</v>
      </c>
    </row>
    <row r="61" spans="1:6" ht="28.5" customHeight="1" x14ac:dyDescent="0.2">
      <c r="A61" s="235" t="s">
        <v>89</v>
      </c>
      <c r="B61" s="150">
        <v>11</v>
      </c>
      <c r="C61" s="151" t="s">
        <v>29</v>
      </c>
      <c r="D61" s="244">
        <f>'Функц. 2025-2027'!F954</f>
        <v>10724.5</v>
      </c>
      <c r="E61" s="177">
        <f>'Функц. 2025-2027'!H954</f>
        <v>3632.9</v>
      </c>
      <c r="F61" s="177">
        <f>'Функц. 2025-2027'!J954</f>
        <v>5239.3</v>
      </c>
    </row>
    <row r="62" spans="1:6" ht="28.5" customHeight="1" x14ac:dyDescent="0.2">
      <c r="A62" s="235" t="s">
        <v>589</v>
      </c>
      <c r="B62" s="150">
        <v>11</v>
      </c>
      <c r="C62" s="151" t="s">
        <v>6</v>
      </c>
      <c r="D62" s="244">
        <f>'Функц. 2025-2027'!F968</f>
        <v>130414.1</v>
      </c>
      <c r="E62" s="177">
        <f>'Функц. 2025-2027'!H968</f>
        <v>120743</v>
      </c>
      <c r="F62" s="177">
        <f>'Функц. 2025-2027'!J968</f>
        <v>122224</v>
      </c>
    </row>
    <row r="63" spans="1:6" ht="36.6" customHeight="1" x14ac:dyDescent="0.2">
      <c r="A63" s="234" t="s">
        <v>432</v>
      </c>
      <c r="B63" s="161">
        <v>13</v>
      </c>
      <c r="C63" s="149"/>
      <c r="D63" s="245">
        <f>D64</f>
        <v>307</v>
      </c>
      <c r="E63" s="162">
        <f>E64</f>
        <v>40146.5</v>
      </c>
      <c r="F63" s="162">
        <f>F64</f>
        <v>53573.599999999999</v>
      </c>
    </row>
    <row r="64" spans="1:6" ht="39.6" customHeight="1" thickBot="1" x14ac:dyDescent="0.25">
      <c r="A64" s="241" t="s">
        <v>433</v>
      </c>
      <c r="B64" s="172">
        <v>13</v>
      </c>
      <c r="C64" s="173" t="s">
        <v>28</v>
      </c>
      <c r="D64" s="249">
        <f>'Функц. 2025-2027'!F981</f>
        <v>307</v>
      </c>
      <c r="E64" s="178">
        <f>'Функц. 2025-2027'!H986</f>
        <v>40146.5</v>
      </c>
      <c r="F64" s="178">
        <f>'Функц. 2025-2027'!J986</f>
        <v>53573.599999999999</v>
      </c>
    </row>
    <row r="65" spans="1:6" ht="35.1" customHeight="1" thickBot="1" x14ac:dyDescent="0.25">
      <c r="A65" s="242" t="s">
        <v>55</v>
      </c>
      <c r="B65" s="174"/>
      <c r="C65" s="175"/>
      <c r="D65" s="176">
        <f>D63+D60+D55+D51+D45+D36+D30+D26+D23+D15+D42+D53</f>
        <v>5400574.2000000002</v>
      </c>
      <c r="E65" s="176">
        <f>E63+E60+E55+E51+E45+E36+E30+E26+E23+E15+E42+E53</f>
        <v>3355666.3</v>
      </c>
      <c r="F65" s="176">
        <f>F63+F60+F55+F51+F45+F36+F30+F26+F23+F15+F42+F53</f>
        <v>3189048.2</v>
      </c>
    </row>
  </sheetData>
  <mergeCells count="14">
    <mergeCell ref="F12:F13"/>
    <mergeCell ref="D7:E7"/>
    <mergeCell ref="E10:H10"/>
    <mergeCell ref="A9:F9"/>
    <mergeCell ref="A12:A13"/>
    <mergeCell ref="B12:B13"/>
    <mergeCell ref="C12:C13"/>
    <mergeCell ref="D12:D13"/>
    <mergeCell ref="E12:E13"/>
    <mergeCell ref="D2:F2"/>
    <mergeCell ref="D3:F3"/>
    <mergeCell ref="D4:F4"/>
    <mergeCell ref="D5:F5"/>
    <mergeCell ref="B6:F6"/>
  </mergeCells>
  <phoneticPr fontId="29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L1150"/>
  <sheetViews>
    <sheetView view="pageBreakPreview" topLeftCell="X1005" zoomScaleNormal="100" zoomScaleSheetLayoutView="100" workbookViewId="0">
      <selection activeCell="AD1023" sqref="AD1023"/>
    </sheetView>
  </sheetViews>
  <sheetFormatPr defaultColWidth="9.28515625" defaultRowHeight="16.5" x14ac:dyDescent="0.25"/>
  <cols>
    <col min="1" max="1" width="77.28515625" style="14" hidden="1" customWidth="1"/>
    <col min="2" max="2" width="12.42578125" style="27" hidden="1" customWidth="1"/>
    <col min="3" max="3" width="7" style="15" hidden="1" customWidth="1"/>
    <col min="4" max="4" width="6.5703125" style="15" hidden="1" customWidth="1"/>
    <col min="5" max="5" width="12.28515625" style="15" hidden="1" customWidth="1"/>
    <col min="6" max="6" width="6.42578125" style="15" hidden="1" customWidth="1"/>
    <col min="7" max="7" width="12.42578125" style="15" hidden="1" customWidth="1"/>
    <col min="8" max="8" width="2.28515625" style="28" hidden="1" customWidth="1"/>
    <col min="9" max="9" width="12.28515625" style="29" hidden="1" customWidth="1"/>
    <col min="10" max="10" width="11.7109375" style="29" hidden="1" customWidth="1"/>
    <col min="11" max="11" width="14.42578125" style="29" hidden="1" customWidth="1"/>
    <col min="12" max="12" width="12.28515625" style="29" hidden="1" customWidth="1"/>
    <col min="13" max="13" width="13.5703125" style="29" hidden="1" customWidth="1"/>
    <col min="14" max="14" width="9" style="29" hidden="1" customWidth="1"/>
    <col min="15" max="15" width="11.42578125" style="30" hidden="1" customWidth="1"/>
    <col min="16" max="16" width="13.5703125" style="31" hidden="1" customWidth="1"/>
    <col min="17" max="17" width="11.28515625" style="3" hidden="1" customWidth="1"/>
    <col min="18" max="18" width="14.42578125" style="32" hidden="1" customWidth="1"/>
    <col min="19" max="19" width="9.28515625" style="33" hidden="1" customWidth="1"/>
    <col min="20" max="20" width="11.7109375" style="3" hidden="1" customWidth="1"/>
    <col min="21" max="21" width="14.42578125" style="3" hidden="1" customWidth="1"/>
    <col min="22" max="22" width="3.42578125" style="3" hidden="1" customWidth="1"/>
    <col min="23" max="23" width="4.42578125" style="3" hidden="1" customWidth="1"/>
    <col min="24" max="24" width="94" style="10" customWidth="1"/>
    <col min="25" max="25" width="10.5703125" style="14" customWidth="1"/>
    <col min="26" max="26" width="7" style="15" customWidth="1"/>
    <col min="27" max="27" width="6.5703125" style="15" customWidth="1"/>
    <col min="28" max="28" width="16.7109375" style="17" customWidth="1"/>
    <col min="29" max="29" width="6.42578125" style="15" customWidth="1"/>
    <col min="30" max="34" width="15.85546875" style="16" customWidth="1"/>
    <col min="35" max="35" width="13.28515625" style="3" customWidth="1"/>
    <col min="36" max="16384" width="9.28515625" style="3"/>
  </cols>
  <sheetData>
    <row r="1" spans="1:38" hidden="1" x14ac:dyDescent="0.25">
      <c r="AG1" s="34"/>
      <c r="AH1" s="34"/>
    </row>
    <row r="2" spans="1:38" ht="18.75" customHeight="1" x14ac:dyDescent="0.25">
      <c r="AD2" s="684" t="s">
        <v>582</v>
      </c>
      <c r="AE2" s="681"/>
      <c r="AF2" s="681"/>
      <c r="AG2" s="34"/>
      <c r="AH2" s="34"/>
    </row>
    <row r="3" spans="1:38" ht="126.75" customHeight="1" x14ac:dyDescent="0.25">
      <c r="AD3" s="685" t="s">
        <v>909</v>
      </c>
      <c r="AE3" s="685"/>
      <c r="AF3" s="685"/>
      <c r="AG3" s="34"/>
      <c r="AH3" s="34"/>
    </row>
    <row r="4" spans="1:38" ht="14.25" customHeight="1" x14ac:dyDescent="0.25">
      <c r="AD4" s="487"/>
      <c r="AE4" s="486"/>
      <c r="AF4" s="486"/>
      <c r="AG4" s="34"/>
      <c r="AH4" s="34"/>
    </row>
    <row r="5" spans="1:38" ht="15.75" x14ac:dyDescent="0.25">
      <c r="AB5" s="425"/>
      <c r="AC5" s="425"/>
      <c r="AD5" s="684" t="s">
        <v>808</v>
      </c>
      <c r="AE5" s="681"/>
      <c r="AF5" s="681"/>
      <c r="AG5" s="34"/>
      <c r="AH5" s="34"/>
    </row>
    <row r="6" spans="1:38" ht="116.25" customHeight="1" x14ac:dyDescent="0.25">
      <c r="AB6" s="289"/>
      <c r="AC6" s="289"/>
      <c r="AD6" s="685" t="s">
        <v>809</v>
      </c>
      <c r="AE6" s="686"/>
      <c r="AF6" s="686"/>
      <c r="AG6" s="34"/>
      <c r="AH6" s="34"/>
      <c r="AI6" s="713"/>
      <c r="AJ6" s="713"/>
      <c r="AK6" s="713"/>
      <c r="AL6" s="713"/>
    </row>
    <row r="7" spans="1:38" ht="15.75" x14ac:dyDescent="0.25">
      <c r="AB7" s="290"/>
      <c r="AC7" s="290"/>
      <c r="AD7" s="290"/>
      <c r="AE7" s="290"/>
      <c r="AF7" s="290"/>
      <c r="AG7" s="34"/>
      <c r="AH7" s="34"/>
      <c r="AI7" s="713"/>
      <c r="AJ7" s="713"/>
      <c r="AK7" s="713"/>
      <c r="AL7" s="713"/>
    </row>
    <row r="8" spans="1:38" s="35" customFormat="1" ht="58.9" customHeight="1" x14ac:dyDescent="0.3">
      <c r="A8" s="706"/>
      <c r="B8" s="707"/>
      <c r="C8" s="707"/>
      <c r="D8" s="707"/>
      <c r="E8" s="707"/>
      <c r="F8" s="707"/>
      <c r="G8" s="707"/>
      <c r="H8" s="707"/>
      <c r="I8" s="707"/>
      <c r="J8" s="707"/>
      <c r="K8" s="707"/>
      <c r="L8" s="707"/>
      <c r="M8" s="707"/>
      <c r="N8" s="707"/>
      <c r="O8" s="707"/>
      <c r="P8" s="707"/>
      <c r="Q8" s="707"/>
      <c r="R8" s="707"/>
      <c r="S8" s="707"/>
      <c r="T8" s="707"/>
      <c r="X8" s="706" t="s">
        <v>767</v>
      </c>
      <c r="Y8" s="706"/>
      <c r="Z8" s="680"/>
      <c r="AA8" s="680"/>
      <c r="AB8" s="680"/>
      <c r="AC8" s="680"/>
      <c r="AD8" s="681"/>
      <c r="AE8" s="681"/>
      <c r="AF8" s="681"/>
      <c r="AG8"/>
      <c r="AH8"/>
      <c r="AJ8" s="710"/>
      <c r="AK8" s="679"/>
      <c r="AL8" s="679"/>
    </row>
    <row r="9" spans="1:38" s="35" customFormat="1" ht="21" thickBot="1" x14ac:dyDescent="0.35">
      <c r="A9" s="706"/>
      <c r="B9" s="707"/>
      <c r="C9" s="707"/>
      <c r="D9" s="707"/>
      <c r="E9" s="707"/>
      <c r="F9" s="707"/>
      <c r="G9" s="707"/>
      <c r="H9" s="707"/>
      <c r="I9" s="707"/>
      <c r="J9" s="707"/>
      <c r="K9" s="707"/>
      <c r="L9" s="707"/>
      <c r="M9" s="707"/>
      <c r="N9" s="707"/>
      <c r="O9" s="707"/>
      <c r="P9" s="707"/>
      <c r="Q9" s="707"/>
      <c r="R9" s="707"/>
      <c r="S9" s="707"/>
      <c r="T9" s="707"/>
      <c r="X9" s="706"/>
      <c r="Y9" s="706"/>
      <c r="Z9" s="706"/>
      <c r="AA9" s="706"/>
      <c r="AB9" s="706"/>
      <c r="AC9" s="706"/>
      <c r="AD9" s="110"/>
      <c r="AF9" s="283" t="s">
        <v>597</v>
      </c>
      <c r="AJ9" s="712"/>
      <c r="AK9" s="709"/>
      <c r="AL9" s="709"/>
    </row>
    <row r="10" spans="1:38" ht="66" customHeight="1" x14ac:dyDescent="0.25">
      <c r="A10" s="36"/>
      <c r="B10" s="37"/>
      <c r="C10" s="38"/>
      <c r="D10" s="38"/>
      <c r="E10" s="38"/>
      <c r="F10" s="38"/>
      <c r="G10" s="39"/>
      <c r="H10" s="40"/>
      <c r="I10" s="41"/>
      <c r="J10" s="39"/>
      <c r="K10" s="42"/>
      <c r="L10" s="43"/>
      <c r="M10" s="42"/>
      <c r="N10" s="43"/>
      <c r="O10" s="44"/>
      <c r="P10" s="45"/>
      <c r="Q10" s="40"/>
      <c r="R10" s="46"/>
      <c r="S10" s="43"/>
      <c r="T10" s="44"/>
      <c r="U10" s="44"/>
      <c r="V10" s="44"/>
      <c r="X10" s="444" t="s">
        <v>71</v>
      </c>
      <c r="Y10" s="365" t="s">
        <v>16</v>
      </c>
      <c r="Z10" s="360" t="s">
        <v>0</v>
      </c>
      <c r="AA10" s="360" t="s">
        <v>19</v>
      </c>
      <c r="AB10" s="360" t="s">
        <v>1</v>
      </c>
      <c r="AC10" s="366" t="s">
        <v>61</v>
      </c>
      <c r="AD10" s="456" t="s">
        <v>431</v>
      </c>
      <c r="AE10" s="434" t="s">
        <v>598</v>
      </c>
      <c r="AF10" s="435" t="s">
        <v>633</v>
      </c>
      <c r="AG10" s="141"/>
      <c r="AH10" s="141"/>
      <c r="AJ10" s="710"/>
      <c r="AK10" s="711"/>
      <c r="AL10" s="711"/>
    </row>
    <row r="11" spans="1:38" s="48" customFormat="1" x14ac:dyDescent="0.25">
      <c r="A11" s="47"/>
      <c r="B11" s="47"/>
      <c r="C11" s="47"/>
      <c r="D11" s="47"/>
      <c r="E11" s="47"/>
      <c r="F11" s="47"/>
      <c r="G11" s="47"/>
      <c r="I11" s="47"/>
      <c r="J11" s="47"/>
      <c r="K11" s="47"/>
      <c r="L11" s="47"/>
      <c r="M11" s="47"/>
      <c r="N11" s="47"/>
      <c r="O11" s="47"/>
      <c r="P11" s="49"/>
      <c r="R11" s="50"/>
      <c r="S11" s="51"/>
      <c r="T11" s="51"/>
      <c r="U11" s="50"/>
      <c r="V11" s="50"/>
      <c r="X11" s="380">
        <v>1</v>
      </c>
      <c r="Y11" s="367">
        <v>2</v>
      </c>
      <c r="Z11" s="329">
        <v>3</v>
      </c>
      <c r="AA11" s="329">
        <v>4</v>
      </c>
      <c r="AB11" s="329">
        <v>5</v>
      </c>
      <c r="AC11" s="368">
        <v>6</v>
      </c>
      <c r="AD11" s="457">
        <v>7</v>
      </c>
      <c r="AE11" s="426">
        <v>8</v>
      </c>
      <c r="AF11" s="436">
        <v>9</v>
      </c>
      <c r="AG11" s="119"/>
      <c r="AH11" s="119"/>
    </row>
    <row r="12" spans="1:38" s="48" customFormat="1" x14ac:dyDescent="0.25">
      <c r="A12" s="47"/>
      <c r="B12" s="52"/>
      <c r="C12" s="47"/>
      <c r="D12" s="47"/>
      <c r="E12" s="47"/>
      <c r="F12" s="47"/>
      <c r="G12" s="47"/>
      <c r="I12" s="47"/>
      <c r="J12" s="47"/>
      <c r="K12" s="47"/>
      <c r="L12" s="47"/>
      <c r="M12" s="47"/>
      <c r="N12" s="47"/>
      <c r="O12" s="47"/>
      <c r="P12" s="49"/>
      <c r="R12" s="50"/>
      <c r="S12" s="51"/>
      <c r="T12" s="51"/>
      <c r="U12" s="50"/>
      <c r="V12" s="50"/>
      <c r="X12" s="445" t="s">
        <v>137</v>
      </c>
      <c r="Y12" s="291" t="s">
        <v>62</v>
      </c>
      <c r="Z12" s="343"/>
      <c r="AA12" s="343"/>
      <c r="AB12" s="344"/>
      <c r="AC12" s="369"/>
      <c r="AD12" s="458">
        <f>AD13+AD148+AD163+AD229+AD283+AD354+AD362+AD416+AD484+AD492+AD522+AD544</f>
        <v>1339057</v>
      </c>
      <c r="AE12" s="427">
        <f>AE13+AE148+AE163+AE229+AE283+AE354+AE362+AE416+AE484+AE492+AE522+AE544</f>
        <v>1037706.9</v>
      </c>
      <c r="AF12" s="437">
        <f>AF13+AF148+AF163+AF229+AF283+AF354+AF362+AF416+AF484+AF492+AF522+AF544</f>
        <v>1033969.3</v>
      </c>
      <c r="AG12" s="142"/>
      <c r="AH12" s="142"/>
      <c r="AI12" s="113"/>
    </row>
    <row r="13" spans="1:38" s="62" customFormat="1" x14ac:dyDescent="0.25">
      <c r="A13" s="53"/>
      <c r="B13" s="54"/>
      <c r="C13" s="55"/>
      <c r="D13" s="56"/>
      <c r="E13" s="57"/>
      <c r="F13" s="57"/>
      <c r="G13" s="58"/>
      <c r="H13" s="58"/>
      <c r="I13" s="58"/>
      <c r="J13" s="58"/>
      <c r="K13" s="58"/>
      <c r="L13" s="58"/>
      <c r="M13" s="58"/>
      <c r="N13" s="58"/>
      <c r="O13" s="59"/>
      <c r="P13" s="58"/>
      <c r="Q13" s="60"/>
      <c r="R13" s="61"/>
      <c r="S13" s="61"/>
      <c r="T13" s="61"/>
      <c r="U13" s="61"/>
      <c r="V13" s="61"/>
      <c r="W13" s="61"/>
      <c r="X13" s="445" t="s">
        <v>24</v>
      </c>
      <c r="Y13" s="291" t="s">
        <v>62</v>
      </c>
      <c r="Z13" s="292" t="s">
        <v>28</v>
      </c>
      <c r="AA13" s="312"/>
      <c r="AB13" s="345"/>
      <c r="AC13" s="317"/>
      <c r="AD13" s="458">
        <f>AD14+AD21+AD74+AD64+AD69</f>
        <v>360034.9</v>
      </c>
      <c r="AE13" s="458">
        <f>AE14+AE21+AE74+AE64</f>
        <v>249467.3</v>
      </c>
      <c r="AF13" s="458">
        <f>AF14+AF21+AF74+AF64</f>
        <v>235059.40000000002</v>
      </c>
      <c r="AG13" s="142"/>
      <c r="AH13" s="142"/>
      <c r="AI13" s="113"/>
    </row>
    <row r="14" spans="1:38" ht="31.5" x14ac:dyDescent="0.25">
      <c r="B14" s="63"/>
      <c r="C14" s="64"/>
      <c r="D14" s="64"/>
      <c r="E14" s="12"/>
      <c r="F14" s="12"/>
      <c r="G14" s="65"/>
      <c r="H14" s="65"/>
      <c r="I14" s="65"/>
      <c r="J14" s="65"/>
      <c r="K14" s="65"/>
      <c r="L14" s="58"/>
      <c r="M14" s="65"/>
      <c r="N14" s="58"/>
      <c r="P14" s="65"/>
      <c r="Q14" s="66"/>
      <c r="R14" s="16"/>
      <c r="S14" s="16"/>
      <c r="T14" s="16"/>
      <c r="U14" s="16"/>
      <c r="V14" s="16"/>
      <c r="W14" s="16"/>
      <c r="X14" s="294" t="s">
        <v>9</v>
      </c>
      <c r="Y14" s="295" t="s">
        <v>62</v>
      </c>
      <c r="Z14" s="296" t="s">
        <v>28</v>
      </c>
      <c r="AA14" s="296" t="s">
        <v>29</v>
      </c>
      <c r="AB14" s="347"/>
      <c r="AC14" s="323" t="s">
        <v>356</v>
      </c>
      <c r="AD14" s="459">
        <f t="shared" ref="AD14:AF17" si="0">AD15</f>
        <v>12052.8</v>
      </c>
      <c r="AE14" s="428">
        <f t="shared" si="0"/>
        <v>3451.3</v>
      </c>
      <c r="AF14" s="438">
        <f t="shared" si="0"/>
        <v>3451.3</v>
      </c>
      <c r="AG14" s="19"/>
      <c r="AH14" s="19"/>
      <c r="AI14" s="113"/>
    </row>
    <row r="15" spans="1:38" x14ac:dyDescent="0.25">
      <c r="B15" s="63"/>
      <c r="C15" s="64"/>
      <c r="D15" s="64"/>
      <c r="E15" s="12"/>
      <c r="F15" s="12"/>
      <c r="G15" s="65"/>
      <c r="H15" s="65"/>
      <c r="I15" s="65"/>
      <c r="J15" s="65"/>
      <c r="K15" s="65"/>
      <c r="L15" s="58"/>
      <c r="M15" s="65"/>
      <c r="N15" s="58"/>
      <c r="P15" s="65"/>
      <c r="Q15" s="66"/>
      <c r="R15" s="16"/>
      <c r="S15" s="16"/>
      <c r="T15" s="16"/>
      <c r="U15" s="16"/>
      <c r="V15" s="16"/>
      <c r="W15" s="16"/>
      <c r="X15" s="299" t="s">
        <v>184</v>
      </c>
      <c r="Y15" s="295" t="s">
        <v>62</v>
      </c>
      <c r="Z15" s="296" t="s">
        <v>28</v>
      </c>
      <c r="AA15" s="296" t="s">
        <v>29</v>
      </c>
      <c r="AB15" s="348" t="s">
        <v>110</v>
      </c>
      <c r="AC15" s="323"/>
      <c r="AD15" s="459">
        <f>AD16</f>
        <v>12052.8</v>
      </c>
      <c r="AE15" s="428">
        <f>AE16</f>
        <v>3451.3</v>
      </c>
      <c r="AF15" s="438">
        <f>AF16</f>
        <v>3451.3</v>
      </c>
      <c r="AG15" s="19"/>
      <c r="AH15" s="19"/>
      <c r="AI15" s="113"/>
    </row>
    <row r="16" spans="1:38" x14ac:dyDescent="0.25">
      <c r="A16" s="10"/>
      <c r="B16" s="63"/>
      <c r="C16" s="64"/>
      <c r="D16" s="64"/>
      <c r="E16" s="64"/>
      <c r="F16" s="12"/>
      <c r="G16" s="65"/>
      <c r="H16" s="65"/>
      <c r="I16" s="65"/>
      <c r="J16" s="65"/>
      <c r="K16" s="65"/>
      <c r="L16" s="58"/>
      <c r="M16" s="65"/>
      <c r="N16" s="58"/>
      <c r="P16" s="65"/>
      <c r="Q16" s="66"/>
      <c r="R16" s="16"/>
      <c r="S16" s="16"/>
      <c r="T16" s="16"/>
      <c r="U16" s="16"/>
      <c r="V16" s="16"/>
      <c r="W16" s="16"/>
      <c r="X16" s="299" t="s">
        <v>187</v>
      </c>
      <c r="Y16" s="295" t="s">
        <v>62</v>
      </c>
      <c r="Z16" s="296" t="s">
        <v>28</v>
      </c>
      <c r="AA16" s="296" t="s">
        <v>29</v>
      </c>
      <c r="AB16" s="348" t="s">
        <v>188</v>
      </c>
      <c r="AC16" s="323"/>
      <c r="AD16" s="459">
        <f t="shared" si="0"/>
        <v>12052.8</v>
      </c>
      <c r="AE16" s="428">
        <f t="shared" si="0"/>
        <v>3451.3</v>
      </c>
      <c r="AF16" s="438">
        <f t="shared" si="0"/>
        <v>3451.3</v>
      </c>
      <c r="AG16" s="19"/>
      <c r="AH16" s="19"/>
      <c r="AI16" s="113"/>
    </row>
    <row r="17" spans="1:35" ht="31.5" x14ac:dyDescent="0.25">
      <c r="A17" s="10"/>
      <c r="B17" s="63"/>
      <c r="C17" s="64"/>
      <c r="D17" s="64"/>
      <c r="E17" s="64"/>
      <c r="F17" s="12"/>
      <c r="G17" s="65"/>
      <c r="H17" s="65"/>
      <c r="I17" s="65"/>
      <c r="J17" s="65"/>
      <c r="K17" s="65"/>
      <c r="L17" s="58"/>
      <c r="M17" s="65"/>
      <c r="N17" s="58"/>
      <c r="P17" s="65"/>
      <c r="Q17" s="66"/>
      <c r="R17" s="16"/>
      <c r="S17" s="16"/>
      <c r="T17" s="16"/>
      <c r="U17" s="16"/>
      <c r="V17" s="16"/>
      <c r="W17" s="16"/>
      <c r="X17" s="299" t="s">
        <v>189</v>
      </c>
      <c r="Y17" s="295" t="s">
        <v>62</v>
      </c>
      <c r="Z17" s="296" t="s">
        <v>28</v>
      </c>
      <c r="AA17" s="296" t="s">
        <v>29</v>
      </c>
      <c r="AB17" s="348" t="s">
        <v>190</v>
      </c>
      <c r="AC17" s="323"/>
      <c r="AD17" s="459">
        <f t="shared" si="0"/>
        <v>12052.8</v>
      </c>
      <c r="AE17" s="428">
        <f t="shared" si="0"/>
        <v>3451.3</v>
      </c>
      <c r="AF17" s="438">
        <f t="shared" si="0"/>
        <v>3451.3</v>
      </c>
      <c r="AG17" s="19"/>
      <c r="AH17" s="19"/>
      <c r="AI17" s="113"/>
    </row>
    <row r="18" spans="1:35" x14ac:dyDescent="0.25">
      <c r="A18" s="10"/>
      <c r="B18" s="63"/>
      <c r="C18" s="64"/>
      <c r="D18" s="64"/>
      <c r="E18" s="64"/>
      <c r="F18" s="12"/>
      <c r="G18" s="65"/>
      <c r="H18" s="65"/>
      <c r="I18" s="65"/>
      <c r="J18" s="65"/>
      <c r="K18" s="65"/>
      <c r="L18" s="58"/>
      <c r="M18" s="65"/>
      <c r="N18" s="58"/>
      <c r="P18" s="65"/>
      <c r="Q18" s="66"/>
      <c r="R18" s="16"/>
      <c r="S18" s="16"/>
      <c r="T18" s="16"/>
      <c r="U18" s="16"/>
      <c r="V18" s="16"/>
      <c r="W18" s="16"/>
      <c r="X18" s="299" t="s">
        <v>191</v>
      </c>
      <c r="Y18" s="295" t="s">
        <v>62</v>
      </c>
      <c r="Z18" s="296" t="s">
        <v>28</v>
      </c>
      <c r="AA18" s="296" t="s">
        <v>29</v>
      </c>
      <c r="AB18" s="348" t="s">
        <v>192</v>
      </c>
      <c r="AC18" s="323"/>
      <c r="AD18" s="459">
        <f t="shared" ref="AD18:AF19" si="1">AD19</f>
        <v>12052.8</v>
      </c>
      <c r="AE18" s="428">
        <f t="shared" si="1"/>
        <v>3451.3</v>
      </c>
      <c r="AF18" s="438">
        <f t="shared" si="1"/>
        <v>3451.3</v>
      </c>
      <c r="AG18" s="19"/>
      <c r="AH18" s="19"/>
      <c r="AI18" s="113"/>
    </row>
    <row r="19" spans="1:35" ht="47.25" x14ac:dyDescent="0.25">
      <c r="A19" s="10"/>
      <c r="B19" s="63"/>
      <c r="C19" s="64"/>
      <c r="D19" s="64"/>
      <c r="E19" s="64"/>
      <c r="F19" s="12"/>
      <c r="G19" s="65"/>
      <c r="H19" s="65"/>
      <c r="I19" s="65"/>
      <c r="J19" s="65"/>
      <c r="K19" s="65"/>
      <c r="L19" s="58"/>
      <c r="M19" s="65"/>
      <c r="N19" s="58"/>
      <c r="P19" s="65"/>
      <c r="Q19" s="66"/>
      <c r="R19" s="16"/>
      <c r="S19" s="16"/>
      <c r="T19" s="16"/>
      <c r="U19" s="16"/>
      <c r="V19" s="16"/>
      <c r="W19" s="16"/>
      <c r="X19" s="294" t="s">
        <v>40</v>
      </c>
      <c r="Y19" s="295" t="s">
        <v>62</v>
      </c>
      <c r="Z19" s="296" t="s">
        <v>28</v>
      </c>
      <c r="AA19" s="296" t="s">
        <v>29</v>
      </c>
      <c r="AB19" s="348" t="s">
        <v>192</v>
      </c>
      <c r="AC19" s="323">
        <v>100</v>
      </c>
      <c r="AD19" s="459">
        <f t="shared" si="1"/>
        <v>12052.8</v>
      </c>
      <c r="AE19" s="428">
        <f t="shared" si="1"/>
        <v>3451.3</v>
      </c>
      <c r="AF19" s="438">
        <f t="shared" si="1"/>
        <v>3451.3</v>
      </c>
      <c r="AG19" s="19"/>
      <c r="AH19" s="19"/>
      <c r="AI19" s="113"/>
    </row>
    <row r="20" spans="1:35" x14ac:dyDescent="0.25">
      <c r="A20" s="10"/>
      <c r="B20" s="63"/>
      <c r="C20" s="64"/>
      <c r="D20" s="64"/>
      <c r="E20" s="64"/>
      <c r="F20" s="12"/>
      <c r="G20" s="65"/>
      <c r="H20" s="65"/>
      <c r="I20" s="65"/>
      <c r="J20" s="65"/>
      <c r="K20" s="65"/>
      <c r="L20" s="58"/>
      <c r="M20" s="65"/>
      <c r="N20" s="58"/>
      <c r="P20" s="65"/>
      <c r="Q20" s="66"/>
      <c r="R20" s="16"/>
      <c r="S20" s="16"/>
      <c r="T20" s="16"/>
      <c r="U20" s="16"/>
      <c r="V20" s="16"/>
      <c r="W20" s="16"/>
      <c r="X20" s="294" t="s">
        <v>94</v>
      </c>
      <c r="Y20" s="295" t="s">
        <v>62</v>
      </c>
      <c r="Z20" s="296" t="s">
        <v>28</v>
      </c>
      <c r="AA20" s="296" t="s">
        <v>29</v>
      </c>
      <c r="AB20" s="348" t="s">
        <v>192</v>
      </c>
      <c r="AC20" s="323">
        <v>120</v>
      </c>
      <c r="AD20" s="459">
        <f>3451.3+5923+1400.3+1278.2</f>
        <v>12052.8</v>
      </c>
      <c r="AE20" s="428">
        <v>3451.3</v>
      </c>
      <c r="AF20" s="438">
        <v>3451.3</v>
      </c>
      <c r="AG20" s="19"/>
      <c r="AH20" s="19"/>
      <c r="AI20" s="113"/>
    </row>
    <row r="21" spans="1:35" ht="31.5" x14ac:dyDescent="0.25">
      <c r="B21" s="63"/>
      <c r="C21" s="64"/>
      <c r="D21" s="64"/>
      <c r="E21" s="12"/>
      <c r="F21" s="12"/>
      <c r="G21" s="65"/>
      <c r="H21" s="65"/>
      <c r="I21" s="65"/>
      <c r="J21" s="65"/>
      <c r="K21" s="65"/>
      <c r="L21" s="58"/>
      <c r="M21" s="65"/>
      <c r="N21" s="58"/>
      <c r="O21" s="67"/>
      <c r="P21" s="65"/>
      <c r="Q21" s="66"/>
      <c r="R21" s="16"/>
      <c r="S21" s="16"/>
      <c r="T21" s="16"/>
      <c r="U21" s="16"/>
      <c r="V21" s="16"/>
      <c r="W21" s="16"/>
      <c r="X21" s="294" t="s">
        <v>689</v>
      </c>
      <c r="Y21" s="295" t="s">
        <v>62</v>
      </c>
      <c r="Z21" s="296" t="s">
        <v>28</v>
      </c>
      <c r="AA21" s="296" t="s">
        <v>48</v>
      </c>
      <c r="AB21" s="347"/>
      <c r="AC21" s="323"/>
      <c r="AD21" s="459">
        <f>AD22+AD30+AD51+AD57</f>
        <v>134458.09999999998</v>
      </c>
      <c r="AE21" s="428">
        <f>AE22+AE30+AE51</f>
        <v>100872</v>
      </c>
      <c r="AF21" s="438">
        <f>AF22+AF30+AF51</f>
        <v>100785</v>
      </c>
      <c r="AG21" s="19"/>
      <c r="AH21" s="19"/>
      <c r="AI21" s="113"/>
    </row>
    <row r="22" spans="1:35" x14ac:dyDescent="0.25">
      <c r="B22" s="63"/>
      <c r="C22" s="64"/>
      <c r="D22" s="64"/>
      <c r="E22" s="12"/>
      <c r="F22" s="12"/>
      <c r="G22" s="65"/>
      <c r="H22" s="65"/>
      <c r="I22" s="65"/>
      <c r="J22" s="65"/>
      <c r="K22" s="65"/>
      <c r="L22" s="58"/>
      <c r="M22" s="65"/>
      <c r="N22" s="58"/>
      <c r="O22" s="67"/>
      <c r="P22" s="65"/>
      <c r="Q22" s="66"/>
      <c r="R22" s="16"/>
      <c r="S22" s="16"/>
      <c r="T22" s="16"/>
      <c r="U22" s="16"/>
      <c r="V22" s="16"/>
      <c r="W22" s="16"/>
      <c r="X22" s="301" t="s">
        <v>290</v>
      </c>
      <c r="Y22" s="295" t="s">
        <v>62</v>
      </c>
      <c r="Z22" s="296" t="s">
        <v>28</v>
      </c>
      <c r="AA22" s="296" t="s">
        <v>48</v>
      </c>
      <c r="AB22" s="347" t="s">
        <v>107</v>
      </c>
      <c r="AC22" s="297"/>
      <c r="AD22" s="459">
        <f>AD23</f>
        <v>5178</v>
      </c>
      <c r="AE22" s="459">
        <f t="shared" ref="AE22:AF22" si="2">AE23</f>
        <v>5206</v>
      </c>
      <c r="AF22" s="459">
        <f t="shared" si="2"/>
        <v>5236</v>
      </c>
      <c r="AG22" s="19"/>
      <c r="AH22" s="19"/>
      <c r="AI22" s="113"/>
    </row>
    <row r="23" spans="1:35" x14ac:dyDescent="0.25">
      <c r="B23" s="63"/>
      <c r="C23" s="64"/>
      <c r="D23" s="64"/>
      <c r="E23" s="12"/>
      <c r="F23" s="12"/>
      <c r="G23" s="65"/>
      <c r="H23" s="65"/>
      <c r="I23" s="65"/>
      <c r="J23" s="65"/>
      <c r="K23" s="65"/>
      <c r="L23" s="58"/>
      <c r="M23" s="65"/>
      <c r="N23" s="58"/>
      <c r="O23" s="67"/>
      <c r="P23" s="65"/>
      <c r="Q23" s="66"/>
      <c r="R23" s="16"/>
      <c r="S23" s="16"/>
      <c r="T23" s="16"/>
      <c r="U23" s="16"/>
      <c r="V23" s="16"/>
      <c r="W23" s="16"/>
      <c r="X23" s="301" t="s">
        <v>47</v>
      </c>
      <c r="Y23" s="295" t="s">
        <v>62</v>
      </c>
      <c r="Z23" s="296" t="s">
        <v>28</v>
      </c>
      <c r="AA23" s="296" t="s">
        <v>48</v>
      </c>
      <c r="AB23" s="347" t="s">
        <v>396</v>
      </c>
      <c r="AC23" s="297"/>
      <c r="AD23" s="459">
        <f t="shared" ref="AD23:AF24" si="3">AD24</f>
        <v>5178</v>
      </c>
      <c r="AE23" s="428">
        <f t="shared" si="3"/>
        <v>5206</v>
      </c>
      <c r="AF23" s="438">
        <f t="shared" si="3"/>
        <v>5236</v>
      </c>
      <c r="AG23" s="19"/>
      <c r="AH23" s="19"/>
      <c r="AI23" s="113"/>
    </row>
    <row r="24" spans="1:35" ht="47.25" x14ac:dyDescent="0.25">
      <c r="B24" s="63"/>
      <c r="C24" s="64"/>
      <c r="D24" s="64"/>
      <c r="E24" s="12"/>
      <c r="F24" s="12"/>
      <c r="G24" s="65"/>
      <c r="H24" s="65"/>
      <c r="I24" s="65"/>
      <c r="J24" s="65"/>
      <c r="K24" s="65"/>
      <c r="L24" s="58"/>
      <c r="M24" s="65"/>
      <c r="N24" s="58"/>
      <c r="O24" s="67"/>
      <c r="P24" s="65"/>
      <c r="Q24" s="66"/>
      <c r="R24" s="16"/>
      <c r="S24" s="16"/>
      <c r="T24" s="16"/>
      <c r="U24" s="16"/>
      <c r="V24" s="16"/>
      <c r="W24" s="16"/>
      <c r="X24" s="301" t="s">
        <v>514</v>
      </c>
      <c r="Y24" s="295" t="s">
        <v>62</v>
      </c>
      <c r="Z24" s="296" t="s">
        <v>28</v>
      </c>
      <c r="AA24" s="296" t="s">
        <v>48</v>
      </c>
      <c r="AB24" s="347" t="s">
        <v>513</v>
      </c>
      <c r="AC24" s="297"/>
      <c r="AD24" s="459">
        <f t="shared" si="3"/>
        <v>5178</v>
      </c>
      <c r="AE24" s="428">
        <f t="shared" si="3"/>
        <v>5206</v>
      </c>
      <c r="AF24" s="438">
        <f t="shared" si="3"/>
        <v>5236</v>
      </c>
      <c r="AG24" s="19"/>
      <c r="AH24" s="19"/>
      <c r="AI24" s="113"/>
    </row>
    <row r="25" spans="1:35" ht="47.25" x14ac:dyDescent="0.25">
      <c r="B25" s="63"/>
      <c r="C25" s="64"/>
      <c r="D25" s="64"/>
      <c r="E25" s="12"/>
      <c r="F25" s="12"/>
      <c r="G25" s="65"/>
      <c r="H25" s="65"/>
      <c r="I25" s="65"/>
      <c r="J25" s="65"/>
      <c r="K25" s="65"/>
      <c r="L25" s="58"/>
      <c r="M25" s="65"/>
      <c r="N25" s="58"/>
      <c r="O25" s="67"/>
      <c r="P25" s="65"/>
      <c r="Q25" s="66"/>
      <c r="R25" s="16"/>
      <c r="S25" s="16"/>
      <c r="T25" s="16"/>
      <c r="U25" s="16"/>
      <c r="V25" s="16"/>
      <c r="W25" s="16"/>
      <c r="X25" s="446" t="s">
        <v>353</v>
      </c>
      <c r="Y25" s="295" t="s">
        <v>62</v>
      </c>
      <c r="Z25" s="296" t="s">
        <v>28</v>
      </c>
      <c r="AA25" s="296" t="s">
        <v>48</v>
      </c>
      <c r="AB25" s="347" t="s">
        <v>515</v>
      </c>
      <c r="AC25" s="297"/>
      <c r="AD25" s="459">
        <f>AD26+AD28</f>
        <v>5178</v>
      </c>
      <c r="AE25" s="428">
        <f>AE26+AE28</f>
        <v>5206</v>
      </c>
      <c r="AF25" s="438">
        <f>AF26+AF28</f>
        <v>5236</v>
      </c>
      <c r="AG25" s="19"/>
      <c r="AH25" s="19"/>
      <c r="AI25" s="113"/>
    </row>
    <row r="26" spans="1:35" ht="47.25" x14ac:dyDescent="0.25">
      <c r="B26" s="63"/>
      <c r="C26" s="64"/>
      <c r="D26" s="64"/>
      <c r="E26" s="12"/>
      <c r="F26" s="12"/>
      <c r="G26" s="65"/>
      <c r="H26" s="65"/>
      <c r="I26" s="65"/>
      <c r="J26" s="65"/>
      <c r="K26" s="65"/>
      <c r="L26" s="58"/>
      <c r="M26" s="65"/>
      <c r="N26" s="58"/>
      <c r="O26" s="67"/>
      <c r="P26" s="65"/>
      <c r="Q26" s="66"/>
      <c r="R26" s="16"/>
      <c r="S26" s="16"/>
      <c r="T26" s="16"/>
      <c r="U26" s="16"/>
      <c r="V26" s="16"/>
      <c r="W26" s="16"/>
      <c r="X26" s="294" t="s">
        <v>40</v>
      </c>
      <c r="Y26" s="295" t="s">
        <v>62</v>
      </c>
      <c r="Z26" s="296" t="s">
        <v>28</v>
      </c>
      <c r="AA26" s="296" t="s">
        <v>48</v>
      </c>
      <c r="AB26" s="347" t="s">
        <v>515</v>
      </c>
      <c r="AC26" s="323">
        <v>100</v>
      </c>
      <c r="AD26" s="459">
        <f>AD27</f>
        <v>4651.3999999999996</v>
      </c>
      <c r="AE26" s="428">
        <f>AE27</f>
        <v>4659.6000000000004</v>
      </c>
      <c r="AF26" s="438">
        <f>AF27</f>
        <v>4669.1000000000004</v>
      </c>
      <c r="AG26" s="19"/>
      <c r="AH26" s="19"/>
      <c r="AI26" s="113"/>
    </row>
    <row r="27" spans="1:35" x14ac:dyDescent="0.25">
      <c r="B27" s="63"/>
      <c r="C27" s="64"/>
      <c r="D27" s="64"/>
      <c r="E27" s="12"/>
      <c r="F27" s="12"/>
      <c r="G27" s="65"/>
      <c r="H27" s="65"/>
      <c r="I27" s="65"/>
      <c r="J27" s="65"/>
      <c r="K27" s="65"/>
      <c r="L27" s="58"/>
      <c r="M27" s="65"/>
      <c r="N27" s="58"/>
      <c r="O27" s="67"/>
      <c r="P27" s="65"/>
      <c r="Q27" s="66"/>
      <c r="R27" s="16"/>
      <c r="S27" s="16"/>
      <c r="T27" s="16"/>
      <c r="U27" s="16"/>
      <c r="V27" s="16"/>
      <c r="W27" s="16"/>
      <c r="X27" s="294" t="s">
        <v>94</v>
      </c>
      <c r="Y27" s="295" t="s">
        <v>62</v>
      </c>
      <c r="Z27" s="296" t="s">
        <v>28</v>
      </c>
      <c r="AA27" s="296" t="s">
        <v>48</v>
      </c>
      <c r="AB27" s="347" t="s">
        <v>515</v>
      </c>
      <c r="AC27" s="297">
        <v>120</v>
      </c>
      <c r="AD27" s="459">
        <v>4651.3999999999996</v>
      </c>
      <c r="AE27" s="428">
        <v>4659.6000000000004</v>
      </c>
      <c r="AF27" s="438">
        <v>4669.1000000000004</v>
      </c>
      <c r="AG27" s="19"/>
      <c r="AH27" s="19"/>
      <c r="AI27" s="113"/>
    </row>
    <row r="28" spans="1:35" x14ac:dyDescent="0.25">
      <c r="B28" s="63"/>
      <c r="C28" s="64"/>
      <c r="D28" s="64"/>
      <c r="E28" s="12"/>
      <c r="F28" s="12"/>
      <c r="G28" s="65"/>
      <c r="H28" s="65"/>
      <c r="I28" s="65"/>
      <c r="J28" s="65"/>
      <c r="K28" s="65"/>
      <c r="L28" s="58"/>
      <c r="M28" s="65"/>
      <c r="N28" s="58"/>
      <c r="O28" s="67"/>
      <c r="P28" s="65"/>
      <c r="Q28" s="66"/>
      <c r="R28" s="16"/>
      <c r="S28" s="16"/>
      <c r="T28" s="16"/>
      <c r="U28" s="16"/>
      <c r="V28" s="16"/>
      <c r="W28" s="16"/>
      <c r="X28" s="294" t="s">
        <v>118</v>
      </c>
      <c r="Y28" s="295" t="s">
        <v>62</v>
      </c>
      <c r="Z28" s="296" t="s">
        <v>28</v>
      </c>
      <c r="AA28" s="296" t="s">
        <v>48</v>
      </c>
      <c r="AB28" s="347" t="s">
        <v>515</v>
      </c>
      <c r="AC28" s="297">
        <v>200</v>
      </c>
      <c r="AD28" s="459">
        <f>AD29</f>
        <v>526.6</v>
      </c>
      <c r="AE28" s="428">
        <f>AE29</f>
        <v>546.4</v>
      </c>
      <c r="AF28" s="438">
        <f>AF29</f>
        <v>566.9</v>
      </c>
      <c r="AG28" s="19"/>
      <c r="AH28" s="19"/>
      <c r="AI28" s="113"/>
    </row>
    <row r="29" spans="1:35" ht="31.5" x14ac:dyDescent="0.25">
      <c r="B29" s="63"/>
      <c r="C29" s="64"/>
      <c r="D29" s="64"/>
      <c r="E29" s="12"/>
      <c r="F29" s="12"/>
      <c r="G29" s="65"/>
      <c r="H29" s="65"/>
      <c r="I29" s="65"/>
      <c r="J29" s="65"/>
      <c r="K29" s="65"/>
      <c r="L29" s="58"/>
      <c r="M29" s="65"/>
      <c r="N29" s="58"/>
      <c r="O29" s="67"/>
      <c r="P29" s="65"/>
      <c r="Q29" s="66"/>
      <c r="R29" s="16"/>
      <c r="S29" s="16"/>
      <c r="T29" s="16"/>
      <c r="U29" s="16"/>
      <c r="V29" s="16"/>
      <c r="W29" s="16"/>
      <c r="X29" s="294" t="s">
        <v>51</v>
      </c>
      <c r="Y29" s="295" t="s">
        <v>62</v>
      </c>
      <c r="Z29" s="296" t="s">
        <v>28</v>
      </c>
      <c r="AA29" s="296" t="s">
        <v>48</v>
      </c>
      <c r="AB29" s="347" t="s">
        <v>515</v>
      </c>
      <c r="AC29" s="297">
        <v>240</v>
      </c>
      <c r="AD29" s="459">
        <v>526.6</v>
      </c>
      <c r="AE29" s="428">
        <v>546.4</v>
      </c>
      <c r="AF29" s="438">
        <v>566.9</v>
      </c>
      <c r="AG29" s="19"/>
      <c r="AH29" s="19"/>
      <c r="AI29" s="113"/>
    </row>
    <row r="30" spans="1:35" x14ac:dyDescent="0.25">
      <c r="A30" s="68"/>
      <c r="B30" s="63"/>
      <c r="C30" s="64"/>
      <c r="D30" s="64"/>
      <c r="E30" s="64"/>
      <c r="F30" s="12"/>
      <c r="G30" s="65"/>
      <c r="H30" s="65"/>
      <c r="I30" s="65"/>
      <c r="J30" s="65"/>
      <c r="K30" s="65"/>
      <c r="L30" s="58"/>
      <c r="M30" s="65"/>
      <c r="N30" s="58"/>
      <c r="O30" s="67"/>
      <c r="P30" s="65"/>
      <c r="Q30" s="66"/>
      <c r="R30" s="16"/>
      <c r="S30" s="16"/>
      <c r="T30" s="16"/>
      <c r="U30" s="16"/>
      <c r="V30" s="16"/>
      <c r="W30" s="16"/>
      <c r="X30" s="299" t="s">
        <v>184</v>
      </c>
      <c r="Y30" s="295" t="s">
        <v>62</v>
      </c>
      <c r="Z30" s="296" t="s">
        <v>28</v>
      </c>
      <c r="AA30" s="296" t="s">
        <v>48</v>
      </c>
      <c r="AB30" s="348" t="s">
        <v>110</v>
      </c>
      <c r="AC30" s="323"/>
      <c r="AD30" s="459">
        <f>AD31</f>
        <v>112901.2</v>
      </c>
      <c r="AE30" s="428">
        <f>AE31</f>
        <v>92666</v>
      </c>
      <c r="AF30" s="438">
        <f>AF31</f>
        <v>92549</v>
      </c>
      <c r="AG30" s="19"/>
      <c r="AH30" s="19"/>
      <c r="AI30" s="113"/>
    </row>
    <row r="31" spans="1:35" x14ac:dyDescent="0.25">
      <c r="A31" s="70"/>
      <c r="C31" s="64"/>
      <c r="D31" s="64"/>
      <c r="E31" s="64"/>
      <c r="F31" s="64"/>
      <c r="G31" s="65"/>
      <c r="H31" s="3"/>
      <c r="L31" s="58"/>
      <c r="N31" s="58"/>
      <c r="O31" s="71"/>
      <c r="P31" s="65"/>
      <c r="Q31" s="66"/>
      <c r="R31" s="16"/>
      <c r="S31" s="16"/>
      <c r="T31" s="16"/>
      <c r="U31" s="16"/>
      <c r="V31" s="16"/>
      <c r="X31" s="299" t="s">
        <v>187</v>
      </c>
      <c r="Y31" s="295" t="s">
        <v>62</v>
      </c>
      <c r="Z31" s="296" t="s">
        <v>28</v>
      </c>
      <c r="AA31" s="296" t="s">
        <v>48</v>
      </c>
      <c r="AB31" s="348" t="s">
        <v>188</v>
      </c>
      <c r="AC31" s="297"/>
      <c r="AD31" s="459">
        <f>AD32+AD47</f>
        <v>112901.2</v>
      </c>
      <c r="AE31" s="428">
        <f>AE32+AE47</f>
        <v>92666</v>
      </c>
      <c r="AF31" s="438">
        <f>AF32+AF47</f>
        <v>92549</v>
      </c>
      <c r="AG31" s="19"/>
      <c r="AH31" s="19"/>
      <c r="AI31" s="113"/>
    </row>
    <row r="32" spans="1:35" ht="31.5" x14ac:dyDescent="0.25">
      <c r="A32" s="70"/>
      <c r="C32" s="64"/>
      <c r="D32" s="64"/>
      <c r="E32" s="64"/>
      <c r="F32" s="64"/>
      <c r="G32" s="65"/>
      <c r="H32" s="3"/>
      <c r="L32" s="58"/>
      <c r="N32" s="58"/>
      <c r="O32" s="71"/>
      <c r="P32" s="65"/>
      <c r="Q32" s="66"/>
      <c r="R32" s="16"/>
      <c r="S32" s="16"/>
      <c r="T32" s="16"/>
      <c r="U32" s="16"/>
      <c r="V32" s="16"/>
      <c r="X32" s="299" t="s">
        <v>189</v>
      </c>
      <c r="Y32" s="295" t="s">
        <v>62</v>
      </c>
      <c r="Z32" s="296" t="s">
        <v>28</v>
      </c>
      <c r="AA32" s="296" t="s">
        <v>48</v>
      </c>
      <c r="AB32" s="348" t="s">
        <v>190</v>
      </c>
      <c r="AC32" s="297"/>
      <c r="AD32" s="459">
        <f>AD33</f>
        <v>112400.2</v>
      </c>
      <c r="AE32" s="428">
        <f>AE33</f>
        <v>92283</v>
      </c>
      <c r="AF32" s="438">
        <f>AF33</f>
        <v>92283</v>
      </c>
      <c r="AG32" s="19"/>
      <c r="AH32" s="19"/>
      <c r="AI32" s="113"/>
    </row>
    <row r="33" spans="1:35" x14ac:dyDescent="0.25">
      <c r="A33" s="70"/>
      <c r="C33" s="64"/>
      <c r="D33" s="64"/>
      <c r="E33" s="64"/>
      <c r="F33" s="64"/>
      <c r="G33" s="65"/>
      <c r="H33" s="3"/>
      <c r="L33" s="58"/>
      <c r="N33" s="58"/>
      <c r="O33" s="71"/>
      <c r="P33" s="65"/>
      <c r="Q33" s="66"/>
      <c r="R33" s="16"/>
      <c r="S33" s="16"/>
      <c r="T33" s="16"/>
      <c r="U33" s="16"/>
      <c r="V33" s="16"/>
      <c r="X33" s="299" t="s">
        <v>193</v>
      </c>
      <c r="Y33" s="295" t="s">
        <v>62</v>
      </c>
      <c r="Z33" s="296" t="s">
        <v>28</v>
      </c>
      <c r="AA33" s="296" t="s">
        <v>48</v>
      </c>
      <c r="AB33" s="348" t="s">
        <v>194</v>
      </c>
      <c r="AC33" s="297"/>
      <c r="AD33" s="459">
        <f>AD34+AD41+AD44</f>
        <v>112400.2</v>
      </c>
      <c r="AE33" s="428">
        <f>AE34+AE41+AE44</f>
        <v>92283</v>
      </c>
      <c r="AF33" s="438">
        <f>AF34+AF41+AF44</f>
        <v>92283</v>
      </c>
      <c r="AG33" s="19"/>
      <c r="AH33" s="19"/>
      <c r="AI33" s="113"/>
    </row>
    <row r="34" spans="1:35" ht="31.5" x14ac:dyDescent="0.25">
      <c r="A34" s="70"/>
      <c r="C34" s="64"/>
      <c r="D34" s="64"/>
      <c r="E34" s="64"/>
      <c r="F34" s="64"/>
      <c r="G34" s="65"/>
      <c r="H34" s="3"/>
      <c r="L34" s="58"/>
      <c r="N34" s="58"/>
      <c r="O34" s="71"/>
      <c r="P34" s="65"/>
      <c r="Q34" s="66"/>
      <c r="R34" s="16"/>
      <c r="S34" s="16"/>
      <c r="T34" s="16"/>
      <c r="U34" s="16"/>
      <c r="V34" s="16"/>
      <c r="X34" s="294" t="s">
        <v>195</v>
      </c>
      <c r="Y34" s="303" t="s">
        <v>62</v>
      </c>
      <c r="Z34" s="304" t="s">
        <v>28</v>
      </c>
      <c r="AA34" s="304" t="s">
        <v>48</v>
      </c>
      <c r="AB34" s="348" t="s">
        <v>196</v>
      </c>
      <c r="AC34" s="297"/>
      <c r="AD34" s="459">
        <f>AD37+AD35+AD39</f>
        <v>11341.099999999999</v>
      </c>
      <c r="AE34" s="459">
        <f>AE37+AE35+AE39</f>
        <v>9487.2999999999993</v>
      </c>
      <c r="AF34" s="459">
        <f>AF37+AF35+AF39</f>
        <v>9487.2999999999993</v>
      </c>
      <c r="AG34" s="19"/>
      <c r="AH34" s="19"/>
      <c r="AI34" s="113"/>
    </row>
    <row r="35" spans="1:35" ht="47.25" x14ac:dyDescent="0.25">
      <c r="A35" s="70"/>
      <c r="C35" s="64"/>
      <c r="D35" s="64"/>
      <c r="E35" s="64"/>
      <c r="F35" s="64"/>
      <c r="G35" s="65"/>
      <c r="H35" s="3"/>
      <c r="L35" s="58"/>
      <c r="N35" s="58"/>
      <c r="O35" s="71"/>
      <c r="P35" s="65"/>
      <c r="Q35" s="66"/>
      <c r="R35" s="16"/>
      <c r="S35" s="16"/>
      <c r="T35" s="16"/>
      <c r="U35" s="16"/>
      <c r="V35" s="16"/>
      <c r="X35" s="294" t="s">
        <v>40</v>
      </c>
      <c r="Y35" s="295" t="s">
        <v>62</v>
      </c>
      <c r="Z35" s="296" t="s">
        <v>28</v>
      </c>
      <c r="AA35" s="296" t="s">
        <v>48</v>
      </c>
      <c r="AB35" s="348" t="s">
        <v>196</v>
      </c>
      <c r="AC35" s="323">
        <v>100</v>
      </c>
      <c r="AD35" s="459">
        <f>AD36</f>
        <v>50</v>
      </c>
      <c r="AE35" s="428">
        <f>AE36</f>
        <v>50</v>
      </c>
      <c r="AF35" s="438">
        <f>AF36</f>
        <v>50</v>
      </c>
      <c r="AG35" s="19"/>
      <c r="AH35" s="19"/>
      <c r="AI35" s="113"/>
    </row>
    <row r="36" spans="1:35" x14ac:dyDescent="0.25">
      <c r="A36" s="70"/>
      <c r="C36" s="64"/>
      <c r="D36" s="64"/>
      <c r="E36" s="64"/>
      <c r="F36" s="64"/>
      <c r="G36" s="65"/>
      <c r="H36" s="3"/>
      <c r="L36" s="58"/>
      <c r="N36" s="58"/>
      <c r="O36" s="71"/>
      <c r="P36" s="65"/>
      <c r="Q36" s="66"/>
      <c r="R36" s="16"/>
      <c r="S36" s="16"/>
      <c r="T36" s="16"/>
      <c r="U36" s="16"/>
      <c r="V36" s="16"/>
      <c r="X36" s="294" t="s">
        <v>94</v>
      </c>
      <c r="Y36" s="295" t="s">
        <v>62</v>
      </c>
      <c r="Z36" s="296" t="s">
        <v>28</v>
      </c>
      <c r="AA36" s="296" t="s">
        <v>48</v>
      </c>
      <c r="AB36" s="348" t="s">
        <v>196</v>
      </c>
      <c r="AC36" s="297">
        <v>120</v>
      </c>
      <c r="AD36" s="459">
        <v>50</v>
      </c>
      <c r="AE36" s="428">
        <v>50</v>
      </c>
      <c r="AF36" s="438">
        <v>50</v>
      </c>
      <c r="AG36" s="19"/>
      <c r="AH36" s="19"/>
      <c r="AI36" s="113"/>
    </row>
    <row r="37" spans="1:35" x14ac:dyDescent="0.25">
      <c r="A37" s="70"/>
      <c r="C37" s="64"/>
      <c r="D37" s="64"/>
      <c r="E37" s="64"/>
      <c r="F37" s="64"/>
      <c r="G37" s="65"/>
      <c r="H37" s="3"/>
      <c r="L37" s="58"/>
      <c r="N37" s="58"/>
      <c r="O37" s="71"/>
      <c r="P37" s="65"/>
      <c r="Q37" s="66"/>
      <c r="R37" s="16"/>
      <c r="S37" s="16"/>
      <c r="T37" s="16"/>
      <c r="U37" s="16"/>
      <c r="V37" s="16"/>
      <c r="X37" s="294" t="s">
        <v>118</v>
      </c>
      <c r="Y37" s="295" t="s">
        <v>62</v>
      </c>
      <c r="Z37" s="296" t="s">
        <v>28</v>
      </c>
      <c r="AA37" s="296" t="s">
        <v>48</v>
      </c>
      <c r="AB37" s="348" t="s">
        <v>196</v>
      </c>
      <c r="AC37" s="297">
        <v>200</v>
      </c>
      <c r="AD37" s="459">
        <f>AD38</f>
        <v>11290.899999999998</v>
      </c>
      <c r="AE37" s="428">
        <f>AE38</f>
        <v>9437.2999999999993</v>
      </c>
      <c r="AF37" s="438">
        <f>AF38</f>
        <v>9437.2999999999993</v>
      </c>
      <c r="AG37" s="19"/>
      <c r="AH37" s="19"/>
      <c r="AI37" s="113"/>
    </row>
    <row r="38" spans="1:35" ht="31.5" x14ac:dyDescent="0.25">
      <c r="A38" s="70"/>
      <c r="C38" s="64"/>
      <c r="D38" s="64"/>
      <c r="E38" s="64"/>
      <c r="F38" s="64"/>
      <c r="G38" s="65"/>
      <c r="H38" s="3"/>
      <c r="L38" s="58"/>
      <c r="N38" s="58"/>
      <c r="O38" s="71"/>
      <c r="P38" s="65"/>
      <c r="Q38" s="66"/>
      <c r="R38" s="16"/>
      <c r="S38" s="16"/>
      <c r="T38" s="16"/>
      <c r="U38" s="16"/>
      <c r="V38" s="16"/>
      <c r="X38" s="294" t="s">
        <v>51</v>
      </c>
      <c r="Y38" s="295" t="s">
        <v>62</v>
      </c>
      <c r="Z38" s="296" t="s">
        <v>28</v>
      </c>
      <c r="AA38" s="296" t="s">
        <v>48</v>
      </c>
      <c r="AB38" s="348" t="s">
        <v>196</v>
      </c>
      <c r="AC38" s="297">
        <v>240</v>
      </c>
      <c r="AD38" s="459">
        <f>9437.3+537+218+1000-0.1+98.8-0.1</f>
        <v>11290.899999999998</v>
      </c>
      <c r="AE38" s="428">
        <v>9437.2999999999993</v>
      </c>
      <c r="AF38" s="438">
        <v>9437.2999999999993</v>
      </c>
      <c r="AG38" s="19"/>
      <c r="AH38" s="19"/>
      <c r="AI38" s="113"/>
    </row>
    <row r="39" spans="1:35" x14ac:dyDescent="0.25">
      <c r="A39" s="70"/>
      <c r="C39" s="64"/>
      <c r="D39" s="64"/>
      <c r="E39" s="64"/>
      <c r="F39" s="64"/>
      <c r="G39" s="65"/>
      <c r="H39" s="3"/>
      <c r="L39" s="58"/>
      <c r="N39" s="58"/>
      <c r="O39" s="71"/>
      <c r="P39" s="65"/>
      <c r="Q39" s="66"/>
      <c r="R39" s="16"/>
      <c r="S39" s="16"/>
      <c r="T39" s="16"/>
      <c r="U39" s="16"/>
      <c r="V39" s="16"/>
      <c r="X39" s="294" t="s">
        <v>41</v>
      </c>
      <c r="Y39" s="295" t="s">
        <v>62</v>
      </c>
      <c r="Z39" s="296" t="s">
        <v>28</v>
      </c>
      <c r="AA39" s="296" t="s">
        <v>48</v>
      </c>
      <c r="AB39" s="348" t="s">
        <v>196</v>
      </c>
      <c r="AC39" s="297">
        <v>800</v>
      </c>
      <c r="AD39" s="459">
        <f>AD40</f>
        <v>0.2</v>
      </c>
      <c r="AE39" s="459">
        <f>AE40</f>
        <v>0</v>
      </c>
      <c r="AF39" s="459">
        <f>AF40</f>
        <v>0</v>
      </c>
      <c r="AG39" s="19"/>
      <c r="AH39" s="19"/>
      <c r="AI39" s="113"/>
    </row>
    <row r="40" spans="1:35" x14ac:dyDescent="0.25">
      <c r="A40" s="70"/>
      <c r="C40" s="64"/>
      <c r="D40" s="64"/>
      <c r="E40" s="64"/>
      <c r="F40" s="64"/>
      <c r="G40" s="65"/>
      <c r="H40" s="3"/>
      <c r="L40" s="58"/>
      <c r="N40" s="58"/>
      <c r="O40" s="71"/>
      <c r="P40" s="65"/>
      <c r="Q40" s="66"/>
      <c r="R40" s="16"/>
      <c r="S40" s="16"/>
      <c r="T40" s="16"/>
      <c r="U40" s="16"/>
      <c r="V40" s="16"/>
      <c r="X40" s="294" t="s">
        <v>56</v>
      </c>
      <c r="Y40" s="295" t="s">
        <v>62</v>
      </c>
      <c r="Z40" s="296" t="s">
        <v>28</v>
      </c>
      <c r="AA40" s="296" t="s">
        <v>48</v>
      </c>
      <c r="AB40" s="348" t="s">
        <v>196</v>
      </c>
      <c r="AC40" s="297">
        <v>850</v>
      </c>
      <c r="AD40" s="459">
        <f>0.1+0.1</f>
        <v>0.2</v>
      </c>
      <c r="AE40" s="459">
        <v>0</v>
      </c>
      <c r="AF40" s="459">
        <v>0</v>
      </c>
      <c r="AG40" s="19"/>
      <c r="AH40" s="19"/>
      <c r="AI40" s="113"/>
    </row>
    <row r="41" spans="1:35" ht="31.5" x14ac:dyDescent="0.25">
      <c r="A41" s="70"/>
      <c r="C41" s="64"/>
      <c r="D41" s="64"/>
      <c r="E41" s="64"/>
      <c r="F41" s="64"/>
      <c r="G41" s="65"/>
      <c r="H41" s="3"/>
      <c r="L41" s="58"/>
      <c r="N41" s="58"/>
      <c r="O41" s="71"/>
      <c r="P41" s="65"/>
      <c r="Q41" s="66"/>
      <c r="R41" s="16"/>
      <c r="S41" s="16"/>
      <c r="T41" s="16"/>
      <c r="U41" s="16"/>
      <c r="V41" s="16"/>
      <c r="X41" s="294" t="s">
        <v>197</v>
      </c>
      <c r="Y41" s="295" t="s">
        <v>62</v>
      </c>
      <c r="Z41" s="296" t="s">
        <v>28</v>
      </c>
      <c r="AA41" s="296" t="s">
        <v>48</v>
      </c>
      <c r="AB41" s="348" t="s">
        <v>198</v>
      </c>
      <c r="AC41" s="323"/>
      <c r="AD41" s="459">
        <f t="shared" ref="AD41:AF42" si="4">AD42</f>
        <v>28421.4</v>
      </c>
      <c r="AE41" s="428">
        <f t="shared" si="4"/>
        <v>28421.4</v>
      </c>
      <c r="AF41" s="438">
        <f t="shared" si="4"/>
        <v>28421.4</v>
      </c>
      <c r="AG41" s="19"/>
      <c r="AH41" s="19"/>
      <c r="AI41" s="113"/>
    </row>
    <row r="42" spans="1:35" ht="47.25" x14ac:dyDescent="0.25">
      <c r="A42" s="70"/>
      <c r="C42" s="64"/>
      <c r="D42" s="64"/>
      <c r="E42" s="64"/>
      <c r="F42" s="64"/>
      <c r="G42" s="65"/>
      <c r="H42" s="3"/>
      <c r="L42" s="58"/>
      <c r="N42" s="58"/>
      <c r="O42" s="71"/>
      <c r="P42" s="65"/>
      <c r="Q42" s="66"/>
      <c r="R42" s="16"/>
      <c r="S42" s="16"/>
      <c r="T42" s="16"/>
      <c r="U42" s="16"/>
      <c r="V42" s="16"/>
      <c r="X42" s="294" t="s">
        <v>40</v>
      </c>
      <c r="Y42" s="295" t="s">
        <v>62</v>
      </c>
      <c r="Z42" s="296" t="s">
        <v>28</v>
      </c>
      <c r="AA42" s="296" t="s">
        <v>48</v>
      </c>
      <c r="AB42" s="348" t="s">
        <v>198</v>
      </c>
      <c r="AC42" s="323">
        <v>100</v>
      </c>
      <c r="AD42" s="459">
        <f t="shared" si="4"/>
        <v>28421.4</v>
      </c>
      <c r="AE42" s="428">
        <f t="shared" si="4"/>
        <v>28421.4</v>
      </c>
      <c r="AF42" s="438">
        <f t="shared" si="4"/>
        <v>28421.4</v>
      </c>
      <c r="AG42" s="19"/>
      <c r="AH42" s="19"/>
      <c r="AI42" s="113"/>
    </row>
    <row r="43" spans="1:35" x14ac:dyDescent="0.25">
      <c r="A43" s="70"/>
      <c r="C43" s="64"/>
      <c r="D43" s="64"/>
      <c r="E43" s="64"/>
      <c r="F43" s="64"/>
      <c r="G43" s="65"/>
      <c r="H43" s="3"/>
      <c r="L43" s="58"/>
      <c r="N43" s="58"/>
      <c r="O43" s="71"/>
      <c r="P43" s="65"/>
      <c r="Q43" s="66"/>
      <c r="R43" s="16"/>
      <c r="S43" s="16"/>
      <c r="T43" s="16"/>
      <c r="U43" s="16"/>
      <c r="V43" s="16"/>
      <c r="X43" s="294" t="s">
        <v>94</v>
      </c>
      <c r="Y43" s="295" t="s">
        <v>62</v>
      </c>
      <c r="Z43" s="296" t="s">
        <v>28</v>
      </c>
      <c r="AA43" s="296" t="s">
        <v>48</v>
      </c>
      <c r="AB43" s="348" t="s">
        <v>198</v>
      </c>
      <c r="AC43" s="297">
        <v>120</v>
      </c>
      <c r="AD43" s="459">
        <v>28421.4</v>
      </c>
      <c r="AE43" s="428">
        <v>28421.4</v>
      </c>
      <c r="AF43" s="438">
        <v>28421.4</v>
      </c>
      <c r="AG43" s="19"/>
      <c r="AH43" s="19"/>
      <c r="AI43" s="113"/>
    </row>
    <row r="44" spans="1:35" ht="31.5" x14ac:dyDescent="0.25">
      <c r="A44" s="70"/>
      <c r="C44" s="64"/>
      <c r="D44" s="64"/>
      <c r="E44" s="64"/>
      <c r="F44" s="64"/>
      <c r="G44" s="65"/>
      <c r="H44" s="3"/>
      <c r="L44" s="58"/>
      <c r="N44" s="58"/>
      <c r="O44" s="71"/>
      <c r="P44" s="65"/>
      <c r="Q44" s="66"/>
      <c r="R44" s="16"/>
      <c r="S44" s="16"/>
      <c r="T44" s="16"/>
      <c r="U44" s="16"/>
      <c r="V44" s="16"/>
      <c r="X44" s="294" t="s">
        <v>199</v>
      </c>
      <c r="Y44" s="295" t="s">
        <v>62</v>
      </c>
      <c r="Z44" s="296" t="s">
        <v>28</v>
      </c>
      <c r="AA44" s="296" t="s">
        <v>48</v>
      </c>
      <c r="AB44" s="348" t="s">
        <v>200</v>
      </c>
      <c r="AC44" s="323"/>
      <c r="AD44" s="459">
        <f t="shared" ref="AD44:AF45" si="5">AD45</f>
        <v>72637.7</v>
      </c>
      <c r="AE44" s="428">
        <f t="shared" si="5"/>
        <v>54374.3</v>
      </c>
      <c r="AF44" s="438">
        <f t="shared" si="5"/>
        <v>54374.3</v>
      </c>
      <c r="AG44" s="19"/>
      <c r="AH44" s="19"/>
      <c r="AI44" s="113"/>
    </row>
    <row r="45" spans="1:35" ht="47.25" x14ac:dyDescent="0.25">
      <c r="A45" s="70"/>
      <c r="C45" s="64"/>
      <c r="D45" s="64"/>
      <c r="E45" s="64"/>
      <c r="F45" s="64"/>
      <c r="G45" s="65"/>
      <c r="H45" s="3"/>
      <c r="L45" s="58"/>
      <c r="N45" s="58"/>
      <c r="O45" s="71"/>
      <c r="P45" s="65"/>
      <c r="Q45" s="66"/>
      <c r="R45" s="16"/>
      <c r="S45" s="16"/>
      <c r="T45" s="16"/>
      <c r="U45" s="16"/>
      <c r="V45" s="16"/>
      <c r="X45" s="294" t="s">
        <v>40</v>
      </c>
      <c r="Y45" s="295" t="s">
        <v>62</v>
      </c>
      <c r="Z45" s="296" t="s">
        <v>28</v>
      </c>
      <c r="AA45" s="296" t="s">
        <v>48</v>
      </c>
      <c r="AB45" s="348" t="s">
        <v>200</v>
      </c>
      <c r="AC45" s="323">
        <v>100</v>
      </c>
      <c r="AD45" s="459">
        <f t="shared" si="5"/>
        <v>72637.7</v>
      </c>
      <c r="AE45" s="428">
        <f t="shared" si="5"/>
        <v>54374.3</v>
      </c>
      <c r="AF45" s="438">
        <f t="shared" si="5"/>
        <v>54374.3</v>
      </c>
      <c r="AG45" s="19"/>
      <c r="AH45" s="19"/>
      <c r="AI45" s="113"/>
    </row>
    <row r="46" spans="1:35" x14ac:dyDescent="0.25">
      <c r="A46" s="70"/>
      <c r="C46" s="64"/>
      <c r="D46" s="64"/>
      <c r="E46" s="64"/>
      <c r="F46" s="64"/>
      <c r="G46" s="65"/>
      <c r="H46" s="3"/>
      <c r="L46" s="58"/>
      <c r="N46" s="58"/>
      <c r="O46" s="71"/>
      <c r="P46" s="65"/>
      <c r="Q46" s="66"/>
      <c r="R46" s="16"/>
      <c r="S46" s="16"/>
      <c r="T46" s="16"/>
      <c r="U46" s="16"/>
      <c r="V46" s="16"/>
      <c r="X46" s="294" t="s">
        <v>94</v>
      </c>
      <c r="Y46" s="295" t="s">
        <v>62</v>
      </c>
      <c r="Z46" s="296" t="s">
        <v>28</v>
      </c>
      <c r="AA46" s="296" t="s">
        <v>48</v>
      </c>
      <c r="AB46" s="348" t="s">
        <v>200</v>
      </c>
      <c r="AC46" s="297">
        <v>120</v>
      </c>
      <c r="AD46" s="459">
        <f>54374.3+18172.7-1400.3+1400.3+90.7</f>
        <v>72637.7</v>
      </c>
      <c r="AE46" s="428">
        <v>54374.3</v>
      </c>
      <c r="AF46" s="438">
        <v>54374.3</v>
      </c>
      <c r="AG46" s="19"/>
      <c r="AH46" s="19"/>
      <c r="AI46" s="113"/>
    </row>
    <row r="47" spans="1:35" ht="31.5" x14ac:dyDescent="0.25">
      <c r="A47" s="70"/>
      <c r="C47" s="64"/>
      <c r="D47" s="64"/>
      <c r="E47" s="64"/>
      <c r="F47" s="64"/>
      <c r="G47" s="65"/>
      <c r="H47" s="3"/>
      <c r="L47" s="58"/>
      <c r="N47" s="58"/>
      <c r="O47" s="71"/>
      <c r="P47" s="65"/>
      <c r="Q47" s="66"/>
      <c r="R47" s="16"/>
      <c r="S47" s="16"/>
      <c r="T47" s="16"/>
      <c r="U47" s="16"/>
      <c r="V47" s="16"/>
      <c r="X47" s="294" t="s">
        <v>529</v>
      </c>
      <c r="Y47" s="295" t="s">
        <v>62</v>
      </c>
      <c r="Z47" s="296" t="s">
        <v>28</v>
      </c>
      <c r="AA47" s="296" t="s">
        <v>48</v>
      </c>
      <c r="AB47" s="350" t="s">
        <v>530</v>
      </c>
      <c r="AC47" s="297"/>
      <c r="AD47" s="459">
        <f>AD48</f>
        <v>501</v>
      </c>
      <c r="AE47" s="428">
        <f t="shared" ref="AE47:AF49" si="6">AE48</f>
        <v>383</v>
      </c>
      <c r="AF47" s="438">
        <f t="shared" si="6"/>
        <v>266</v>
      </c>
      <c r="AG47" s="19"/>
      <c r="AH47" s="19"/>
      <c r="AI47" s="113"/>
    </row>
    <row r="48" spans="1:35" ht="78.75" x14ac:dyDescent="0.25">
      <c r="A48" s="70"/>
      <c r="C48" s="64"/>
      <c r="D48" s="64"/>
      <c r="E48" s="64"/>
      <c r="F48" s="64"/>
      <c r="G48" s="65"/>
      <c r="H48" s="3"/>
      <c r="L48" s="58"/>
      <c r="N48" s="58"/>
      <c r="O48" s="71"/>
      <c r="P48" s="65"/>
      <c r="Q48" s="66"/>
      <c r="R48" s="16"/>
      <c r="S48" s="16"/>
      <c r="T48" s="16"/>
      <c r="U48" s="16"/>
      <c r="V48" s="16"/>
      <c r="X48" s="294" t="s">
        <v>401</v>
      </c>
      <c r="Y48" s="295" t="s">
        <v>62</v>
      </c>
      <c r="Z48" s="296" t="s">
        <v>28</v>
      </c>
      <c r="AA48" s="296" t="s">
        <v>48</v>
      </c>
      <c r="AB48" s="348" t="s">
        <v>531</v>
      </c>
      <c r="AC48" s="297"/>
      <c r="AD48" s="459">
        <f>AD49</f>
        <v>501</v>
      </c>
      <c r="AE48" s="428">
        <f t="shared" si="6"/>
        <v>383</v>
      </c>
      <c r="AF48" s="438">
        <f t="shared" si="6"/>
        <v>266</v>
      </c>
      <c r="AG48" s="19"/>
      <c r="AH48" s="19"/>
      <c r="AI48" s="113"/>
    </row>
    <row r="49" spans="1:35" x14ac:dyDescent="0.25">
      <c r="A49" s="70"/>
      <c r="C49" s="64"/>
      <c r="D49" s="64"/>
      <c r="E49" s="64"/>
      <c r="F49" s="64"/>
      <c r="G49" s="65"/>
      <c r="H49" s="3"/>
      <c r="L49" s="58"/>
      <c r="N49" s="58"/>
      <c r="O49" s="71"/>
      <c r="P49" s="65"/>
      <c r="Q49" s="66"/>
      <c r="R49" s="16"/>
      <c r="S49" s="16"/>
      <c r="T49" s="16"/>
      <c r="U49" s="16"/>
      <c r="V49" s="16"/>
      <c r="X49" s="294" t="s">
        <v>118</v>
      </c>
      <c r="Y49" s="295" t="s">
        <v>62</v>
      </c>
      <c r="Z49" s="296" t="s">
        <v>28</v>
      </c>
      <c r="AA49" s="296" t="s">
        <v>48</v>
      </c>
      <c r="AB49" s="348" t="s">
        <v>531</v>
      </c>
      <c r="AC49" s="297">
        <v>200</v>
      </c>
      <c r="AD49" s="459">
        <f>AD50</f>
        <v>501</v>
      </c>
      <c r="AE49" s="428">
        <f t="shared" si="6"/>
        <v>383</v>
      </c>
      <c r="AF49" s="438">
        <f t="shared" si="6"/>
        <v>266</v>
      </c>
      <c r="AG49" s="19"/>
      <c r="AH49" s="19"/>
      <c r="AI49" s="113"/>
    </row>
    <row r="50" spans="1:35" ht="31.5" x14ac:dyDescent="0.25">
      <c r="A50" s="70"/>
      <c r="C50" s="64"/>
      <c r="D50" s="64"/>
      <c r="E50" s="64"/>
      <c r="F50" s="64"/>
      <c r="G50" s="65"/>
      <c r="H50" s="3"/>
      <c r="L50" s="58"/>
      <c r="N50" s="58"/>
      <c r="O50" s="71"/>
      <c r="P50" s="65"/>
      <c r="Q50" s="66"/>
      <c r="R50" s="16"/>
      <c r="S50" s="16"/>
      <c r="T50" s="16"/>
      <c r="U50" s="16"/>
      <c r="V50" s="16"/>
      <c r="X50" s="294" t="s">
        <v>51</v>
      </c>
      <c r="Y50" s="295" t="s">
        <v>62</v>
      </c>
      <c r="Z50" s="296" t="s">
        <v>28</v>
      </c>
      <c r="AA50" s="296" t="s">
        <v>48</v>
      </c>
      <c r="AB50" s="348" t="s">
        <v>531</v>
      </c>
      <c r="AC50" s="297">
        <v>240</v>
      </c>
      <c r="AD50" s="459">
        <f>460+60-3-3-13</f>
        <v>501</v>
      </c>
      <c r="AE50" s="428">
        <f>253+130</f>
        <v>383</v>
      </c>
      <c r="AF50" s="438">
        <f>196+70</f>
        <v>266</v>
      </c>
      <c r="AG50" s="19"/>
      <c r="AH50" s="19"/>
      <c r="AI50" s="113"/>
    </row>
    <row r="51" spans="1:35" ht="31.5" x14ac:dyDescent="0.25">
      <c r="A51" s="70"/>
      <c r="C51" s="64"/>
      <c r="D51" s="64"/>
      <c r="E51" s="64"/>
      <c r="F51" s="64"/>
      <c r="G51" s="65"/>
      <c r="H51" s="3"/>
      <c r="L51" s="58"/>
      <c r="N51" s="58"/>
      <c r="O51" s="71"/>
      <c r="P51" s="65"/>
      <c r="Q51" s="66"/>
      <c r="R51" s="16"/>
      <c r="S51" s="16"/>
      <c r="T51" s="16"/>
      <c r="U51" s="16"/>
      <c r="V51" s="16"/>
      <c r="X51" s="301" t="s">
        <v>296</v>
      </c>
      <c r="Y51" s="295" t="s">
        <v>62</v>
      </c>
      <c r="Z51" s="296" t="s">
        <v>28</v>
      </c>
      <c r="AA51" s="296" t="s">
        <v>48</v>
      </c>
      <c r="AB51" s="348" t="s">
        <v>130</v>
      </c>
      <c r="AC51" s="297"/>
      <c r="AD51" s="459">
        <f t="shared" ref="AD51:AF53" si="7">AD52</f>
        <v>9658.4</v>
      </c>
      <c r="AE51" s="428">
        <f t="shared" si="7"/>
        <v>3000</v>
      </c>
      <c r="AF51" s="438">
        <f t="shared" si="7"/>
        <v>3000</v>
      </c>
      <c r="AG51" s="19"/>
      <c r="AH51" s="19"/>
      <c r="AI51" s="113"/>
    </row>
    <row r="52" spans="1:35" ht="47.25" x14ac:dyDescent="0.25">
      <c r="A52" s="70"/>
      <c r="C52" s="64"/>
      <c r="D52" s="64"/>
      <c r="E52" s="64"/>
      <c r="F52" s="64"/>
      <c r="G52" s="65"/>
      <c r="H52" s="3"/>
      <c r="L52" s="58"/>
      <c r="N52" s="58"/>
      <c r="O52" s="71"/>
      <c r="P52" s="65"/>
      <c r="Q52" s="66"/>
      <c r="R52" s="16"/>
      <c r="S52" s="16"/>
      <c r="T52" s="16"/>
      <c r="U52" s="16"/>
      <c r="V52" s="16"/>
      <c r="X52" s="448" t="s">
        <v>510</v>
      </c>
      <c r="Y52" s="295" t="s">
        <v>62</v>
      </c>
      <c r="Z52" s="296" t="s">
        <v>28</v>
      </c>
      <c r="AA52" s="296" t="s">
        <v>48</v>
      </c>
      <c r="AB52" s="348" t="s">
        <v>298</v>
      </c>
      <c r="AC52" s="297"/>
      <c r="AD52" s="459">
        <f t="shared" si="7"/>
        <v>9658.4</v>
      </c>
      <c r="AE52" s="428">
        <f t="shared" si="7"/>
        <v>3000</v>
      </c>
      <c r="AF52" s="438">
        <f t="shared" si="7"/>
        <v>3000</v>
      </c>
      <c r="AG52" s="19"/>
      <c r="AH52" s="19"/>
      <c r="AI52" s="113"/>
    </row>
    <row r="53" spans="1:35" ht="31.5" x14ac:dyDescent="0.25">
      <c r="A53" s="70"/>
      <c r="C53" s="64"/>
      <c r="D53" s="64"/>
      <c r="E53" s="64"/>
      <c r="F53" s="64"/>
      <c r="G53" s="65"/>
      <c r="H53" s="3"/>
      <c r="L53" s="58"/>
      <c r="N53" s="58"/>
      <c r="O53" s="71"/>
      <c r="P53" s="65"/>
      <c r="Q53" s="66"/>
      <c r="R53" s="16"/>
      <c r="S53" s="16"/>
      <c r="T53" s="16"/>
      <c r="U53" s="16"/>
      <c r="V53" s="16"/>
      <c r="X53" s="449" t="s">
        <v>299</v>
      </c>
      <c r="Y53" s="295" t="s">
        <v>62</v>
      </c>
      <c r="Z53" s="296" t="s">
        <v>28</v>
      </c>
      <c r="AA53" s="296" t="s">
        <v>48</v>
      </c>
      <c r="AB53" s="348" t="s">
        <v>300</v>
      </c>
      <c r="AC53" s="297"/>
      <c r="AD53" s="459">
        <f t="shared" si="7"/>
        <v>9658.4</v>
      </c>
      <c r="AE53" s="428">
        <f t="shared" si="7"/>
        <v>3000</v>
      </c>
      <c r="AF53" s="438">
        <f t="shared" si="7"/>
        <v>3000</v>
      </c>
      <c r="AG53" s="19"/>
      <c r="AH53" s="19"/>
      <c r="AI53" s="113"/>
    </row>
    <row r="54" spans="1:35" ht="94.5" x14ac:dyDescent="0.25">
      <c r="A54" s="70"/>
      <c r="C54" s="64"/>
      <c r="D54" s="64"/>
      <c r="E54" s="64"/>
      <c r="F54" s="64"/>
      <c r="G54" s="65"/>
      <c r="H54" s="3"/>
      <c r="L54" s="58"/>
      <c r="N54" s="58"/>
      <c r="O54" s="71"/>
      <c r="P54" s="65"/>
      <c r="Q54" s="66"/>
      <c r="R54" s="16"/>
      <c r="S54" s="16"/>
      <c r="T54" s="16"/>
      <c r="U54" s="16"/>
      <c r="V54" s="16"/>
      <c r="X54" s="449" t="s">
        <v>666</v>
      </c>
      <c r="Y54" s="295" t="s">
        <v>62</v>
      </c>
      <c r="Z54" s="296" t="s">
        <v>28</v>
      </c>
      <c r="AA54" s="296" t="s">
        <v>48</v>
      </c>
      <c r="AB54" s="350" t="s">
        <v>301</v>
      </c>
      <c r="AC54" s="297"/>
      <c r="AD54" s="459">
        <f t="shared" ref="AD54:AF55" si="8">AD55</f>
        <v>9658.4</v>
      </c>
      <c r="AE54" s="428">
        <f t="shared" si="8"/>
        <v>3000</v>
      </c>
      <c r="AF54" s="438">
        <f t="shared" si="8"/>
        <v>3000</v>
      </c>
      <c r="AG54" s="19"/>
      <c r="AH54" s="19"/>
      <c r="AI54" s="113"/>
    </row>
    <row r="55" spans="1:35" x14ac:dyDescent="0.25">
      <c r="A55" s="70"/>
      <c r="C55" s="64"/>
      <c r="D55" s="64"/>
      <c r="E55" s="64"/>
      <c r="F55" s="64"/>
      <c r="G55" s="65"/>
      <c r="H55" s="3"/>
      <c r="L55" s="58"/>
      <c r="N55" s="58"/>
      <c r="O55" s="71"/>
      <c r="P55" s="65"/>
      <c r="Q55" s="66"/>
      <c r="R55" s="16"/>
      <c r="S55" s="16"/>
      <c r="T55" s="16"/>
      <c r="U55" s="16"/>
      <c r="V55" s="16"/>
      <c r="X55" s="294" t="s">
        <v>118</v>
      </c>
      <c r="Y55" s="295" t="s">
        <v>62</v>
      </c>
      <c r="Z55" s="296" t="s">
        <v>28</v>
      </c>
      <c r="AA55" s="296" t="s">
        <v>48</v>
      </c>
      <c r="AB55" s="350" t="s">
        <v>301</v>
      </c>
      <c r="AC55" s="297">
        <v>200</v>
      </c>
      <c r="AD55" s="459">
        <f t="shared" si="8"/>
        <v>9658.4</v>
      </c>
      <c r="AE55" s="428">
        <f t="shared" si="8"/>
        <v>3000</v>
      </c>
      <c r="AF55" s="438">
        <f t="shared" si="8"/>
        <v>3000</v>
      </c>
      <c r="AG55" s="19"/>
      <c r="AH55" s="19"/>
      <c r="AI55" s="113"/>
    </row>
    <row r="56" spans="1:35" ht="31.5" x14ac:dyDescent="0.25">
      <c r="A56" s="70"/>
      <c r="C56" s="64"/>
      <c r="D56" s="64"/>
      <c r="E56" s="64"/>
      <c r="F56" s="64"/>
      <c r="G56" s="65"/>
      <c r="H56" s="3"/>
      <c r="L56" s="58"/>
      <c r="N56" s="58"/>
      <c r="O56" s="71"/>
      <c r="P56" s="65"/>
      <c r="Q56" s="66"/>
      <c r="R56" s="16"/>
      <c r="S56" s="16"/>
      <c r="T56" s="16"/>
      <c r="U56" s="16"/>
      <c r="V56" s="16"/>
      <c r="X56" s="294" t="s">
        <v>51</v>
      </c>
      <c r="Y56" s="295" t="s">
        <v>62</v>
      </c>
      <c r="Z56" s="296" t="s">
        <v>28</v>
      </c>
      <c r="AA56" s="296" t="s">
        <v>48</v>
      </c>
      <c r="AB56" s="350" t="s">
        <v>301</v>
      </c>
      <c r="AC56" s="297">
        <v>240</v>
      </c>
      <c r="AD56" s="459">
        <f>6608.4+500+2300+250</f>
        <v>9658.4</v>
      </c>
      <c r="AE56" s="428">
        <v>3000</v>
      </c>
      <c r="AF56" s="438">
        <v>3000</v>
      </c>
      <c r="AG56" s="192"/>
      <c r="AH56" s="19"/>
      <c r="AI56" s="113"/>
    </row>
    <row r="57" spans="1:35" x14ac:dyDescent="0.25">
      <c r="A57" s="70"/>
      <c r="C57" s="64"/>
      <c r="D57" s="64"/>
      <c r="E57" s="64"/>
      <c r="F57" s="64"/>
      <c r="G57" s="65"/>
      <c r="H57" s="3"/>
      <c r="L57" s="58"/>
      <c r="N57" s="58"/>
      <c r="O57" s="71"/>
      <c r="P57" s="65"/>
      <c r="Q57" s="66"/>
      <c r="R57" s="16"/>
      <c r="S57" s="16"/>
      <c r="T57" s="16"/>
      <c r="U57" s="16"/>
      <c r="V57" s="16"/>
      <c r="X57" s="450" t="s">
        <v>328</v>
      </c>
      <c r="Y57" s="295" t="s">
        <v>62</v>
      </c>
      <c r="Z57" s="296" t="s">
        <v>28</v>
      </c>
      <c r="AA57" s="296" t="s">
        <v>48</v>
      </c>
      <c r="AB57" s="348" t="s">
        <v>135</v>
      </c>
      <c r="AC57" s="297"/>
      <c r="AD57" s="459">
        <f>AD58+AD61</f>
        <v>6720.5</v>
      </c>
      <c r="AE57" s="459">
        <f t="shared" ref="AE57:AF57" si="9">AE58</f>
        <v>0</v>
      </c>
      <c r="AF57" s="459">
        <f t="shared" si="9"/>
        <v>0</v>
      </c>
      <c r="AG57" s="192"/>
      <c r="AH57" s="19"/>
      <c r="AI57" s="113"/>
    </row>
    <row r="58" spans="1:35" ht="53.25" customHeight="1" x14ac:dyDescent="0.25">
      <c r="A58" s="70"/>
      <c r="C58" s="64"/>
      <c r="D58" s="64"/>
      <c r="E58" s="64"/>
      <c r="F58" s="64"/>
      <c r="G58" s="65"/>
      <c r="H58" s="3"/>
      <c r="L58" s="58"/>
      <c r="N58" s="58"/>
      <c r="O58" s="71"/>
      <c r="P58" s="65"/>
      <c r="Q58" s="66"/>
      <c r="R58" s="16"/>
      <c r="S58" s="16"/>
      <c r="T58" s="16"/>
      <c r="U58" s="16"/>
      <c r="V58" s="16"/>
      <c r="X58" s="294" t="s">
        <v>889</v>
      </c>
      <c r="Y58" s="295" t="s">
        <v>62</v>
      </c>
      <c r="Z58" s="296" t="s">
        <v>28</v>
      </c>
      <c r="AA58" s="296" t="s">
        <v>48</v>
      </c>
      <c r="AB58" s="350" t="s">
        <v>890</v>
      </c>
      <c r="AC58" s="297"/>
      <c r="AD58" s="459">
        <f>AD59</f>
        <v>5220.5</v>
      </c>
      <c r="AE58" s="459">
        <f t="shared" ref="AE58:AF58" si="10">AE59</f>
        <v>0</v>
      </c>
      <c r="AF58" s="459">
        <f t="shared" si="10"/>
        <v>0</v>
      </c>
      <c r="AG58" s="192"/>
      <c r="AH58" s="19"/>
      <c r="AI58" s="113"/>
    </row>
    <row r="59" spans="1:35" ht="47.25" x14ac:dyDescent="0.25">
      <c r="A59" s="70"/>
      <c r="C59" s="64"/>
      <c r="D59" s="64"/>
      <c r="E59" s="64"/>
      <c r="F59" s="64"/>
      <c r="G59" s="65"/>
      <c r="H59" s="3"/>
      <c r="L59" s="58"/>
      <c r="N59" s="58"/>
      <c r="O59" s="71"/>
      <c r="P59" s="65"/>
      <c r="Q59" s="66"/>
      <c r="R59" s="16"/>
      <c r="S59" s="16"/>
      <c r="T59" s="16"/>
      <c r="U59" s="16"/>
      <c r="V59" s="16"/>
      <c r="X59" s="294" t="s">
        <v>40</v>
      </c>
      <c r="Y59" s="295" t="s">
        <v>62</v>
      </c>
      <c r="Z59" s="296" t="s">
        <v>28</v>
      </c>
      <c r="AA59" s="296" t="s">
        <v>48</v>
      </c>
      <c r="AB59" s="350" t="s">
        <v>890</v>
      </c>
      <c r="AC59" s="297">
        <v>100</v>
      </c>
      <c r="AD59" s="459">
        <f>AD60</f>
        <v>5220.5</v>
      </c>
      <c r="AE59" s="459">
        <f t="shared" ref="AE59:AF59" si="11">AE60</f>
        <v>0</v>
      </c>
      <c r="AF59" s="459">
        <f t="shared" si="11"/>
        <v>0</v>
      </c>
      <c r="AG59" s="192"/>
      <c r="AH59" s="19"/>
      <c r="AI59" s="113"/>
    </row>
    <row r="60" spans="1:35" x14ac:dyDescent="0.25">
      <c r="A60" s="70"/>
      <c r="C60" s="64"/>
      <c r="D60" s="64"/>
      <c r="E60" s="64"/>
      <c r="F60" s="64"/>
      <c r="G60" s="65"/>
      <c r="H60" s="3"/>
      <c r="L60" s="58"/>
      <c r="N60" s="58"/>
      <c r="O60" s="71"/>
      <c r="P60" s="65"/>
      <c r="Q60" s="66"/>
      <c r="R60" s="16"/>
      <c r="S60" s="16"/>
      <c r="T60" s="16"/>
      <c r="U60" s="16"/>
      <c r="V60" s="16"/>
      <c r="X60" s="446" t="s">
        <v>94</v>
      </c>
      <c r="Y60" s="295" t="s">
        <v>62</v>
      </c>
      <c r="Z60" s="296" t="s">
        <v>28</v>
      </c>
      <c r="AA60" s="296" t="s">
        <v>48</v>
      </c>
      <c r="AB60" s="350" t="s">
        <v>890</v>
      </c>
      <c r="AC60" s="297">
        <v>120</v>
      </c>
      <c r="AD60" s="459">
        <v>5220.5</v>
      </c>
      <c r="AE60" s="428">
        <v>0</v>
      </c>
      <c r="AF60" s="438">
        <v>0</v>
      </c>
      <c r="AG60" s="192"/>
      <c r="AH60" s="19"/>
      <c r="AI60" s="113"/>
    </row>
    <row r="61" spans="1:35" ht="50.25" customHeight="1" x14ac:dyDescent="0.25">
      <c r="A61" s="70"/>
      <c r="C61" s="64"/>
      <c r="D61" s="64"/>
      <c r="E61" s="64"/>
      <c r="F61" s="64"/>
      <c r="G61" s="65"/>
      <c r="H61" s="3"/>
      <c r="L61" s="58"/>
      <c r="N61" s="58"/>
      <c r="O61" s="71"/>
      <c r="P61" s="65"/>
      <c r="Q61" s="66"/>
      <c r="R61" s="16"/>
      <c r="S61" s="16"/>
      <c r="T61" s="16"/>
      <c r="U61" s="16"/>
      <c r="V61" s="16"/>
      <c r="X61" s="446" t="s">
        <v>891</v>
      </c>
      <c r="Y61" s="295" t="s">
        <v>62</v>
      </c>
      <c r="Z61" s="296" t="s">
        <v>28</v>
      </c>
      <c r="AA61" s="296" t="s">
        <v>48</v>
      </c>
      <c r="AB61" s="350" t="s">
        <v>892</v>
      </c>
      <c r="AC61" s="297"/>
      <c r="AD61" s="459">
        <f>AD62</f>
        <v>1500</v>
      </c>
      <c r="AE61" s="459">
        <f t="shared" ref="AE61:AF62" si="12">AE62</f>
        <v>0</v>
      </c>
      <c r="AF61" s="459">
        <f t="shared" si="12"/>
        <v>0</v>
      </c>
      <c r="AG61" s="192"/>
      <c r="AH61" s="19"/>
      <c r="AI61" s="113"/>
    </row>
    <row r="62" spans="1:35" ht="50.25" customHeight="1" x14ac:dyDescent="0.25">
      <c r="A62" s="70"/>
      <c r="C62" s="64"/>
      <c r="D62" s="64"/>
      <c r="E62" s="64"/>
      <c r="F62" s="64"/>
      <c r="G62" s="65"/>
      <c r="H62" s="3"/>
      <c r="L62" s="58"/>
      <c r="N62" s="58"/>
      <c r="O62" s="71"/>
      <c r="P62" s="65"/>
      <c r="Q62" s="66"/>
      <c r="R62" s="16"/>
      <c r="S62" s="16"/>
      <c r="T62" s="16"/>
      <c r="U62" s="16"/>
      <c r="V62" s="16"/>
      <c r="X62" s="294" t="s">
        <v>40</v>
      </c>
      <c r="Y62" s="295" t="s">
        <v>62</v>
      </c>
      <c r="Z62" s="296" t="s">
        <v>28</v>
      </c>
      <c r="AA62" s="296" t="s">
        <v>48</v>
      </c>
      <c r="AB62" s="350" t="s">
        <v>892</v>
      </c>
      <c r="AC62" s="297">
        <v>100</v>
      </c>
      <c r="AD62" s="459">
        <f>AD63</f>
        <v>1500</v>
      </c>
      <c r="AE62" s="459">
        <f t="shared" si="12"/>
        <v>0</v>
      </c>
      <c r="AF62" s="459">
        <f t="shared" si="12"/>
        <v>0</v>
      </c>
      <c r="AG62" s="192"/>
      <c r="AH62" s="19"/>
      <c r="AI62" s="113"/>
    </row>
    <row r="63" spans="1:35" ht="24.75" customHeight="1" x14ac:dyDescent="0.25">
      <c r="A63" s="70"/>
      <c r="C63" s="64"/>
      <c r="D63" s="64"/>
      <c r="E63" s="64"/>
      <c r="F63" s="64"/>
      <c r="G63" s="65"/>
      <c r="H63" s="3"/>
      <c r="L63" s="58"/>
      <c r="N63" s="58"/>
      <c r="O63" s="71"/>
      <c r="P63" s="65"/>
      <c r="Q63" s="66"/>
      <c r="R63" s="16"/>
      <c r="S63" s="16"/>
      <c r="T63" s="16"/>
      <c r="U63" s="16"/>
      <c r="V63" s="16"/>
      <c r="X63" s="446" t="s">
        <v>94</v>
      </c>
      <c r="Y63" s="295" t="s">
        <v>62</v>
      </c>
      <c r="Z63" s="296" t="s">
        <v>28</v>
      </c>
      <c r="AA63" s="296" t="s">
        <v>48</v>
      </c>
      <c r="AB63" s="350" t="s">
        <v>892</v>
      </c>
      <c r="AC63" s="297">
        <v>120</v>
      </c>
      <c r="AD63" s="459">
        <v>1500</v>
      </c>
      <c r="AE63" s="428">
        <v>0</v>
      </c>
      <c r="AF63" s="438">
        <v>0</v>
      </c>
      <c r="AG63" s="192"/>
      <c r="AH63" s="19"/>
      <c r="AI63" s="113"/>
    </row>
    <row r="64" spans="1:35" ht="24.75" customHeight="1" x14ac:dyDescent="0.25">
      <c r="A64" s="70"/>
      <c r="C64" s="64"/>
      <c r="D64" s="64"/>
      <c r="E64" s="64"/>
      <c r="F64" s="64"/>
      <c r="G64" s="65"/>
      <c r="H64" s="3"/>
      <c r="L64" s="58"/>
      <c r="N64" s="58"/>
      <c r="O64" s="71"/>
      <c r="P64" s="65"/>
      <c r="Q64" s="66"/>
      <c r="R64" s="16"/>
      <c r="S64" s="16"/>
      <c r="T64" s="16"/>
      <c r="U64" s="16"/>
      <c r="V64" s="16"/>
      <c r="X64" s="255" t="s">
        <v>42</v>
      </c>
      <c r="Y64" s="303" t="s">
        <v>62</v>
      </c>
      <c r="Z64" s="296" t="s">
        <v>28</v>
      </c>
      <c r="AA64" s="296" t="s">
        <v>7</v>
      </c>
      <c r="AB64" s="350"/>
      <c r="AC64" s="297"/>
      <c r="AD64" s="459">
        <f>AD65</f>
        <v>4837.3999999999996</v>
      </c>
      <c r="AE64" s="459">
        <f t="shared" ref="AE64:AF64" si="13">AE65</f>
        <v>0</v>
      </c>
      <c r="AF64" s="459">
        <f t="shared" si="13"/>
        <v>0</v>
      </c>
      <c r="AG64" s="192"/>
      <c r="AH64" s="19"/>
      <c r="AI64" s="113"/>
    </row>
    <row r="65" spans="1:35" x14ac:dyDescent="0.25">
      <c r="A65" s="70"/>
      <c r="C65" s="64"/>
      <c r="D65" s="64"/>
      <c r="E65" s="64"/>
      <c r="F65" s="64"/>
      <c r="G65" s="65"/>
      <c r="H65" s="3"/>
      <c r="L65" s="58"/>
      <c r="N65" s="58"/>
      <c r="O65" s="71"/>
      <c r="P65" s="65"/>
      <c r="Q65" s="66"/>
      <c r="R65" s="16"/>
      <c r="S65" s="16"/>
      <c r="T65" s="16"/>
      <c r="U65" s="16"/>
      <c r="V65" s="16"/>
      <c r="X65" s="450" t="s">
        <v>328</v>
      </c>
      <c r="Y65" s="295" t="s">
        <v>62</v>
      </c>
      <c r="Z65" s="296" t="s">
        <v>28</v>
      </c>
      <c r="AA65" s="296" t="s">
        <v>7</v>
      </c>
      <c r="AB65" s="348" t="s">
        <v>135</v>
      </c>
      <c r="AC65" s="297"/>
      <c r="AD65" s="459">
        <f t="shared" ref="AD65:AF67" si="14">AD66</f>
        <v>4837.3999999999996</v>
      </c>
      <c r="AE65" s="428">
        <f t="shared" si="14"/>
        <v>0</v>
      </c>
      <c r="AF65" s="438">
        <f t="shared" si="14"/>
        <v>0</v>
      </c>
      <c r="AG65" s="19"/>
      <c r="AH65" s="19"/>
      <c r="AI65" s="113"/>
    </row>
    <row r="66" spans="1:35" x14ac:dyDescent="0.25">
      <c r="A66" s="70"/>
      <c r="C66" s="64"/>
      <c r="D66" s="64"/>
      <c r="E66" s="64"/>
      <c r="F66" s="64"/>
      <c r="G66" s="65"/>
      <c r="H66" s="3"/>
      <c r="L66" s="58"/>
      <c r="N66" s="58"/>
      <c r="O66" s="71"/>
      <c r="P66" s="65"/>
      <c r="Q66" s="66"/>
      <c r="R66" s="16"/>
      <c r="S66" s="16"/>
      <c r="T66" s="16"/>
      <c r="U66" s="16"/>
      <c r="V66" s="16"/>
      <c r="X66" s="294" t="s">
        <v>603</v>
      </c>
      <c r="Y66" s="303" t="s">
        <v>62</v>
      </c>
      <c r="Z66" s="296" t="s">
        <v>28</v>
      </c>
      <c r="AA66" s="296" t="s">
        <v>7</v>
      </c>
      <c r="AB66" s="348" t="s">
        <v>604</v>
      </c>
      <c r="AC66" s="297"/>
      <c r="AD66" s="459">
        <f t="shared" si="14"/>
        <v>4837.3999999999996</v>
      </c>
      <c r="AE66" s="428">
        <f t="shared" si="14"/>
        <v>0</v>
      </c>
      <c r="AF66" s="438">
        <f t="shared" si="14"/>
        <v>0</v>
      </c>
      <c r="AG66" s="19"/>
      <c r="AH66" s="19"/>
      <c r="AI66" s="113"/>
    </row>
    <row r="67" spans="1:35" x14ac:dyDescent="0.25">
      <c r="A67" s="70"/>
      <c r="C67" s="64"/>
      <c r="D67" s="64"/>
      <c r="E67" s="64"/>
      <c r="F67" s="64"/>
      <c r="G67" s="65"/>
      <c r="H67" s="3"/>
      <c r="L67" s="58"/>
      <c r="N67" s="58"/>
      <c r="O67" s="71"/>
      <c r="P67" s="65"/>
      <c r="Q67" s="66"/>
      <c r="R67" s="16"/>
      <c r="S67" s="16"/>
      <c r="T67" s="16"/>
      <c r="U67" s="16"/>
      <c r="V67" s="16"/>
      <c r="X67" s="294" t="s">
        <v>41</v>
      </c>
      <c r="Y67" s="295" t="s">
        <v>62</v>
      </c>
      <c r="Z67" s="296" t="s">
        <v>28</v>
      </c>
      <c r="AA67" s="296" t="s">
        <v>7</v>
      </c>
      <c r="AB67" s="348" t="s">
        <v>604</v>
      </c>
      <c r="AC67" s="297">
        <v>800</v>
      </c>
      <c r="AD67" s="459">
        <f t="shared" si="14"/>
        <v>4837.3999999999996</v>
      </c>
      <c r="AE67" s="428">
        <f t="shared" si="14"/>
        <v>0</v>
      </c>
      <c r="AF67" s="438">
        <f t="shared" si="14"/>
        <v>0</v>
      </c>
      <c r="AG67" s="19"/>
      <c r="AH67" s="19"/>
      <c r="AI67" s="113"/>
    </row>
    <row r="68" spans="1:35" x14ac:dyDescent="0.25">
      <c r="A68" s="70"/>
      <c r="C68" s="64"/>
      <c r="D68" s="64"/>
      <c r="E68" s="64"/>
      <c r="F68" s="64"/>
      <c r="G68" s="65"/>
      <c r="H68" s="3"/>
      <c r="L68" s="58"/>
      <c r="N68" s="58"/>
      <c r="O68" s="71"/>
      <c r="P68" s="65"/>
      <c r="Q68" s="66"/>
      <c r="R68" s="16"/>
      <c r="S68" s="16"/>
      <c r="T68" s="16"/>
      <c r="U68" s="16"/>
      <c r="V68" s="16"/>
      <c r="X68" s="294" t="s">
        <v>610</v>
      </c>
      <c r="Y68" s="295" t="s">
        <v>62</v>
      </c>
      <c r="Z68" s="296" t="s">
        <v>28</v>
      </c>
      <c r="AA68" s="296" t="s">
        <v>7</v>
      </c>
      <c r="AB68" s="348" t="s">
        <v>604</v>
      </c>
      <c r="AC68" s="297">
        <v>880</v>
      </c>
      <c r="AD68" s="459">
        <f>6400-1562.6</f>
        <v>4837.3999999999996</v>
      </c>
      <c r="AE68" s="428">
        <v>0</v>
      </c>
      <c r="AF68" s="438">
        <v>0</v>
      </c>
      <c r="AG68" s="19"/>
      <c r="AH68" s="19"/>
      <c r="AI68" s="113"/>
    </row>
    <row r="69" spans="1:35" s="483" customFormat="1" x14ac:dyDescent="0.25">
      <c r="A69" s="14"/>
      <c r="B69" s="63"/>
      <c r="C69" s="64"/>
      <c r="D69" s="64"/>
      <c r="E69" s="64"/>
      <c r="F69" s="64"/>
      <c r="G69" s="65"/>
      <c r="H69" s="65"/>
      <c r="I69" s="65"/>
      <c r="J69" s="65"/>
      <c r="K69" s="65"/>
      <c r="L69" s="58"/>
      <c r="M69" s="65"/>
      <c r="N69" s="58"/>
      <c r="O69" s="30"/>
      <c r="P69" s="65"/>
      <c r="Q69" s="66"/>
      <c r="R69" s="16"/>
      <c r="S69" s="16"/>
      <c r="T69" s="16"/>
      <c r="U69" s="16"/>
      <c r="V69" s="16"/>
      <c r="W69" s="16"/>
      <c r="X69" s="294" t="s">
        <v>904</v>
      </c>
      <c r="Y69" s="295" t="s">
        <v>62</v>
      </c>
      <c r="Z69" s="296" t="s">
        <v>28</v>
      </c>
      <c r="AA69" s="296">
        <v>11</v>
      </c>
      <c r="AB69" s="351"/>
      <c r="AC69" s="297"/>
      <c r="AD69" s="459">
        <f t="shared" ref="AD69:AF69" si="15">AD70</f>
        <v>1000</v>
      </c>
      <c r="AE69" s="428">
        <f t="shared" si="15"/>
        <v>0</v>
      </c>
      <c r="AF69" s="438">
        <f t="shared" si="15"/>
        <v>0</v>
      </c>
      <c r="AG69" s="19"/>
      <c r="AH69" s="19"/>
      <c r="AI69" s="113"/>
    </row>
    <row r="70" spans="1:35" s="483" customFormat="1" x14ac:dyDescent="0.25">
      <c r="A70" s="70"/>
      <c r="B70" s="63"/>
      <c r="C70" s="64"/>
      <c r="D70" s="64"/>
      <c r="E70" s="64"/>
      <c r="F70" s="64"/>
      <c r="G70" s="65"/>
      <c r="I70" s="29"/>
      <c r="J70" s="29"/>
      <c r="K70" s="29"/>
      <c r="L70" s="58"/>
      <c r="M70" s="29"/>
      <c r="N70" s="58"/>
      <c r="O70" s="30"/>
      <c r="P70" s="31"/>
      <c r="Q70" s="66"/>
      <c r="R70" s="16"/>
      <c r="S70" s="16"/>
      <c r="T70" s="16"/>
      <c r="U70" s="16"/>
      <c r="V70" s="16"/>
      <c r="X70" s="294" t="s">
        <v>328</v>
      </c>
      <c r="Y70" s="295" t="s">
        <v>62</v>
      </c>
      <c r="Z70" s="296" t="s">
        <v>28</v>
      </c>
      <c r="AA70" s="296">
        <v>11</v>
      </c>
      <c r="AB70" s="347" t="s">
        <v>135</v>
      </c>
      <c r="AC70" s="297"/>
      <c r="AD70" s="459">
        <f>AD71</f>
        <v>1000</v>
      </c>
      <c r="AE70" s="428">
        <f>AE71</f>
        <v>0</v>
      </c>
      <c r="AF70" s="438">
        <f>AF71</f>
        <v>0</v>
      </c>
      <c r="AG70" s="19"/>
      <c r="AH70" s="19"/>
      <c r="AI70" s="113"/>
    </row>
    <row r="71" spans="1:35" s="483" customFormat="1" ht="31.5" x14ac:dyDescent="0.25">
      <c r="A71" s="70"/>
      <c r="B71" s="63"/>
      <c r="C71" s="64"/>
      <c r="D71" s="64"/>
      <c r="E71" s="64"/>
      <c r="F71" s="64"/>
      <c r="G71" s="65"/>
      <c r="I71" s="29"/>
      <c r="J71" s="29"/>
      <c r="K71" s="29"/>
      <c r="L71" s="58"/>
      <c r="M71" s="29"/>
      <c r="N71" s="58"/>
      <c r="O71" s="30"/>
      <c r="P71" s="31"/>
      <c r="Q71" s="66"/>
      <c r="R71" s="16"/>
      <c r="S71" s="16"/>
      <c r="T71" s="16"/>
      <c r="U71" s="16"/>
      <c r="V71" s="16"/>
      <c r="X71" s="307" t="s">
        <v>905</v>
      </c>
      <c r="Y71" s="295" t="s">
        <v>62</v>
      </c>
      <c r="Z71" s="296" t="s">
        <v>28</v>
      </c>
      <c r="AA71" s="296">
        <v>11</v>
      </c>
      <c r="AB71" s="348" t="s">
        <v>906</v>
      </c>
      <c r="AC71" s="297"/>
      <c r="AD71" s="459">
        <f t="shared" ref="AD71:AF72" si="16">AD72</f>
        <v>1000</v>
      </c>
      <c r="AE71" s="428">
        <f t="shared" si="16"/>
        <v>0</v>
      </c>
      <c r="AF71" s="438">
        <f t="shared" si="16"/>
        <v>0</v>
      </c>
      <c r="AG71" s="19"/>
      <c r="AH71" s="19"/>
      <c r="AI71" s="113"/>
    </row>
    <row r="72" spans="1:35" s="483" customFormat="1" x14ac:dyDescent="0.25">
      <c r="A72" s="70"/>
      <c r="B72" s="63"/>
      <c r="C72" s="64"/>
      <c r="D72" s="64"/>
      <c r="E72" s="64"/>
      <c r="F72" s="64"/>
      <c r="G72" s="65"/>
      <c r="I72" s="29"/>
      <c r="J72" s="29"/>
      <c r="K72" s="29"/>
      <c r="L72" s="58"/>
      <c r="M72" s="29"/>
      <c r="N72" s="58"/>
      <c r="O72" s="30"/>
      <c r="P72" s="31"/>
      <c r="Q72" s="66"/>
      <c r="R72" s="16"/>
      <c r="S72" s="16"/>
      <c r="T72" s="16"/>
      <c r="U72" s="16"/>
      <c r="V72" s="16"/>
      <c r="X72" s="294" t="s">
        <v>41</v>
      </c>
      <c r="Y72" s="295" t="s">
        <v>62</v>
      </c>
      <c r="Z72" s="296" t="s">
        <v>28</v>
      </c>
      <c r="AA72" s="296">
        <v>11</v>
      </c>
      <c r="AB72" s="348" t="s">
        <v>906</v>
      </c>
      <c r="AC72" s="297">
        <v>800</v>
      </c>
      <c r="AD72" s="459">
        <f t="shared" si="16"/>
        <v>1000</v>
      </c>
      <c r="AE72" s="428">
        <f t="shared" si="16"/>
        <v>0</v>
      </c>
      <c r="AF72" s="438">
        <f t="shared" si="16"/>
        <v>0</v>
      </c>
      <c r="AG72" s="19"/>
      <c r="AH72" s="19"/>
      <c r="AI72" s="113"/>
    </row>
    <row r="73" spans="1:35" s="483" customFormat="1" x14ac:dyDescent="0.25">
      <c r="A73" s="70"/>
      <c r="B73" s="63"/>
      <c r="C73" s="64"/>
      <c r="D73" s="64"/>
      <c r="E73" s="64"/>
      <c r="F73" s="64"/>
      <c r="G73" s="65"/>
      <c r="I73" s="29"/>
      <c r="J73" s="29"/>
      <c r="K73" s="29"/>
      <c r="L73" s="58"/>
      <c r="M73" s="29"/>
      <c r="N73" s="58"/>
      <c r="O73" s="30"/>
      <c r="P73" s="31"/>
      <c r="Q73" s="66"/>
      <c r="R73" s="16"/>
      <c r="S73" s="16"/>
      <c r="T73" s="16"/>
      <c r="U73" s="16"/>
      <c r="V73" s="16"/>
      <c r="X73" s="294" t="s">
        <v>134</v>
      </c>
      <c r="Y73" s="295" t="s">
        <v>62</v>
      </c>
      <c r="Z73" s="296" t="s">
        <v>28</v>
      </c>
      <c r="AA73" s="296">
        <v>11</v>
      </c>
      <c r="AB73" s="348" t="s">
        <v>906</v>
      </c>
      <c r="AC73" s="297">
        <v>870</v>
      </c>
      <c r="AD73" s="459">
        <v>1000</v>
      </c>
      <c r="AE73" s="428">
        <v>0</v>
      </c>
      <c r="AF73" s="438">
        <v>0</v>
      </c>
      <c r="AG73" s="19"/>
      <c r="AH73" s="19"/>
      <c r="AI73" s="113"/>
    </row>
    <row r="74" spans="1:35" x14ac:dyDescent="0.25">
      <c r="B74" s="63"/>
      <c r="C74" s="64"/>
      <c r="D74" s="64"/>
      <c r="E74" s="64"/>
      <c r="F74" s="64"/>
      <c r="G74" s="65"/>
      <c r="H74" s="65"/>
      <c r="I74" s="65"/>
      <c r="J74" s="65"/>
      <c r="K74" s="65"/>
      <c r="L74" s="58"/>
      <c r="M74" s="65"/>
      <c r="N74" s="58"/>
      <c r="P74" s="65"/>
      <c r="Q74" s="66"/>
      <c r="R74" s="16"/>
      <c r="S74" s="16"/>
      <c r="T74" s="16"/>
      <c r="U74" s="16"/>
      <c r="V74" s="16"/>
      <c r="W74" s="16"/>
      <c r="X74" s="294" t="s">
        <v>13</v>
      </c>
      <c r="Y74" s="295" t="s">
        <v>62</v>
      </c>
      <c r="Z74" s="296" t="s">
        <v>28</v>
      </c>
      <c r="AA74" s="296">
        <v>13</v>
      </c>
      <c r="AB74" s="351"/>
      <c r="AC74" s="297"/>
      <c r="AD74" s="459">
        <f>AD75+AD128+AD134+AD140</f>
        <v>207686.6</v>
      </c>
      <c r="AE74" s="428">
        <f>AE75+AE128+AE134+AE140</f>
        <v>145144</v>
      </c>
      <c r="AF74" s="438">
        <f>AF75+AF128+AF134+AF140</f>
        <v>130823.1</v>
      </c>
      <c r="AG74" s="19"/>
      <c r="AH74" s="19"/>
      <c r="AI74" s="113"/>
    </row>
    <row r="75" spans="1:35" x14ac:dyDescent="0.25">
      <c r="A75" s="72"/>
      <c r="B75" s="63"/>
      <c r="C75" s="64"/>
      <c r="D75" s="64"/>
      <c r="E75" s="12"/>
      <c r="F75" s="64"/>
      <c r="G75" s="64"/>
      <c r="L75" s="58"/>
      <c r="N75" s="58"/>
      <c r="Q75" s="66"/>
      <c r="R75" s="16"/>
      <c r="S75" s="16"/>
      <c r="T75" s="16"/>
      <c r="U75" s="16"/>
      <c r="V75" s="16"/>
      <c r="X75" s="299" t="s">
        <v>184</v>
      </c>
      <c r="Y75" s="295" t="s">
        <v>62</v>
      </c>
      <c r="Z75" s="296" t="s">
        <v>28</v>
      </c>
      <c r="AA75" s="296">
        <v>13</v>
      </c>
      <c r="AB75" s="348" t="s">
        <v>110</v>
      </c>
      <c r="AC75" s="297"/>
      <c r="AD75" s="459">
        <f>AD76+AD91</f>
        <v>150058.5</v>
      </c>
      <c r="AE75" s="428">
        <f>AE76+AE91</f>
        <v>91589</v>
      </c>
      <c r="AF75" s="438">
        <f>AF76+AF91</f>
        <v>77763.900000000009</v>
      </c>
      <c r="AG75" s="19"/>
      <c r="AH75" s="19"/>
      <c r="AI75" s="113"/>
    </row>
    <row r="76" spans="1:35" x14ac:dyDescent="0.25">
      <c r="A76" s="72"/>
      <c r="B76" s="63"/>
      <c r="C76" s="64"/>
      <c r="D76" s="64"/>
      <c r="E76" s="12"/>
      <c r="F76" s="64"/>
      <c r="G76" s="64"/>
      <c r="L76" s="58"/>
      <c r="N76" s="58"/>
      <c r="Q76" s="66"/>
      <c r="R76" s="16"/>
      <c r="S76" s="16"/>
      <c r="T76" s="16"/>
      <c r="U76" s="16"/>
      <c r="V76" s="16"/>
      <c r="X76" s="451" t="s">
        <v>525</v>
      </c>
      <c r="Y76" s="295" t="s">
        <v>62</v>
      </c>
      <c r="Z76" s="296" t="s">
        <v>28</v>
      </c>
      <c r="AA76" s="296">
        <v>13</v>
      </c>
      <c r="AB76" s="348" t="s">
        <v>111</v>
      </c>
      <c r="AC76" s="297"/>
      <c r="AD76" s="459">
        <f>AD77+AD85</f>
        <v>13893.199999999999</v>
      </c>
      <c r="AE76" s="428">
        <f>AE77+AE85</f>
        <v>14155.699999999999</v>
      </c>
      <c r="AF76" s="438">
        <f>AF77+AF85</f>
        <v>328.6</v>
      </c>
      <c r="AG76" s="19"/>
      <c r="AH76" s="19"/>
      <c r="AI76" s="113"/>
    </row>
    <row r="77" spans="1:35" ht="31.5" x14ac:dyDescent="0.25">
      <c r="A77" s="72"/>
      <c r="B77" s="63"/>
      <c r="C77" s="64"/>
      <c r="D77" s="64"/>
      <c r="E77" s="12"/>
      <c r="F77" s="64"/>
      <c r="G77" s="64"/>
      <c r="L77" s="58"/>
      <c r="N77" s="58"/>
      <c r="Q77" s="66"/>
      <c r="R77" s="16"/>
      <c r="S77" s="16"/>
      <c r="T77" s="16"/>
      <c r="U77" s="16"/>
      <c r="V77" s="16"/>
      <c r="X77" s="307" t="s">
        <v>180</v>
      </c>
      <c r="Y77" s="295" t="s">
        <v>62</v>
      </c>
      <c r="Z77" s="296" t="s">
        <v>28</v>
      </c>
      <c r="AA77" s="296">
        <v>13</v>
      </c>
      <c r="AB77" s="348" t="s">
        <v>181</v>
      </c>
      <c r="AC77" s="297"/>
      <c r="AD77" s="459">
        <f>AD78</f>
        <v>13564.599999999999</v>
      </c>
      <c r="AE77" s="428">
        <f>AE78</f>
        <v>13827.099999999999</v>
      </c>
      <c r="AF77" s="438">
        <f>AF78</f>
        <v>0</v>
      </c>
      <c r="AG77" s="19"/>
      <c r="AH77" s="19"/>
      <c r="AI77" s="113"/>
    </row>
    <row r="78" spans="1:35" ht="34.5" customHeight="1" x14ac:dyDescent="0.25">
      <c r="A78" s="72"/>
      <c r="B78" s="63"/>
      <c r="C78" s="64"/>
      <c r="D78" s="64"/>
      <c r="E78" s="12"/>
      <c r="F78" s="64"/>
      <c r="G78" s="64"/>
      <c r="L78" s="58"/>
      <c r="N78" s="58"/>
      <c r="Q78" s="66"/>
      <c r="R78" s="16"/>
      <c r="S78" s="16"/>
      <c r="T78" s="16"/>
      <c r="U78" s="16"/>
      <c r="V78" s="16"/>
      <c r="X78" s="307" t="s">
        <v>756</v>
      </c>
      <c r="Y78" s="295" t="s">
        <v>62</v>
      </c>
      <c r="Z78" s="296" t="s">
        <v>28</v>
      </c>
      <c r="AA78" s="296">
        <v>13</v>
      </c>
      <c r="AB78" s="348" t="s">
        <v>183</v>
      </c>
      <c r="AC78" s="323"/>
      <c r="AD78" s="459">
        <f>AD83+AD81+AD79</f>
        <v>13564.599999999999</v>
      </c>
      <c r="AE78" s="428">
        <f>AE83+AE81</f>
        <v>13827.099999999999</v>
      </c>
      <c r="AF78" s="438">
        <f>AF83+AF81</f>
        <v>0</v>
      </c>
      <c r="AG78" s="19"/>
      <c r="AH78" s="19"/>
      <c r="AI78" s="113"/>
    </row>
    <row r="79" spans="1:35" ht="20.25" customHeight="1" x14ac:dyDescent="0.25">
      <c r="A79" s="72"/>
      <c r="B79" s="63"/>
      <c r="C79" s="64"/>
      <c r="D79" s="64"/>
      <c r="E79" s="12"/>
      <c r="F79" s="64"/>
      <c r="G79" s="64"/>
      <c r="L79" s="58"/>
      <c r="N79" s="58"/>
      <c r="Q79" s="66"/>
      <c r="R79" s="16"/>
      <c r="S79" s="16"/>
      <c r="T79" s="16"/>
      <c r="U79" s="16"/>
      <c r="V79" s="16"/>
      <c r="X79" s="294" t="s">
        <v>118</v>
      </c>
      <c r="Y79" s="295" t="s">
        <v>62</v>
      </c>
      <c r="Z79" s="296" t="s">
        <v>28</v>
      </c>
      <c r="AA79" s="296">
        <v>13</v>
      </c>
      <c r="AB79" s="348" t="s">
        <v>183</v>
      </c>
      <c r="AC79" s="323">
        <v>200</v>
      </c>
      <c r="AD79" s="459">
        <f>AD80</f>
        <v>45.9</v>
      </c>
      <c r="AE79" s="459">
        <f>AE80</f>
        <v>0</v>
      </c>
      <c r="AF79" s="459">
        <f>AF80</f>
        <v>0</v>
      </c>
      <c r="AG79" s="19"/>
      <c r="AH79" s="19"/>
      <c r="AI79" s="113"/>
    </row>
    <row r="80" spans="1:35" ht="23.25" customHeight="1" x14ac:dyDescent="0.25">
      <c r="A80" s="72"/>
      <c r="B80" s="63"/>
      <c r="C80" s="64"/>
      <c r="D80" s="64"/>
      <c r="E80" s="12"/>
      <c r="F80" s="64"/>
      <c r="G80" s="64"/>
      <c r="L80" s="58"/>
      <c r="N80" s="58"/>
      <c r="Q80" s="66"/>
      <c r="R80" s="16"/>
      <c r="S80" s="16"/>
      <c r="T80" s="16"/>
      <c r="U80" s="16"/>
      <c r="V80" s="16"/>
      <c r="X80" s="294" t="s">
        <v>51</v>
      </c>
      <c r="Y80" s="295" t="s">
        <v>62</v>
      </c>
      <c r="Z80" s="296" t="s">
        <v>28</v>
      </c>
      <c r="AA80" s="296">
        <v>13</v>
      </c>
      <c r="AB80" s="348" t="s">
        <v>183</v>
      </c>
      <c r="AC80" s="323">
        <v>240</v>
      </c>
      <c r="AD80" s="459">
        <f>30+15.9</f>
        <v>45.9</v>
      </c>
      <c r="AE80" s="428">
        <v>0</v>
      </c>
      <c r="AF80" s="438">
        <v>0</v>
      </c>
      <c r="AG80" s="19"/>
      <c r="AH80" s="19"/>
      <c r="AI80" s="113"/>
    </row>
    <row r="81" spans="1:35" x14ac:dyDescent="0.25">
      <c r="A81" s="72"/>
      <c r="B81" s="63"/>
      <c r="C81" s="64"/>
      <c r="D81" s="64"/>
      <c r="E81" s="12"/>
      <c r="F81" s="64"/>
      <c r="G81" s="64"/>
      <c r="L81" s="58"/>
      <c r="N81" s="58"/>
      <c r="Q81" s="66"/>
      <c r="R81" s="16"/>
      <c r="S81" s="16"/>
      <c r="T81" s="16"/>
      <c r="U81" s="16"/>
      <c r="V81" s="16"/>
      <c r="X81" s="294" t="s">
        <v>95</v>
      </c>
      <c r="Y81" s="295" t="s">
        <v>62</v>
      </c>
      <c r="Z81" s="296" t="s">
        <v>28</v>
      </c>
      <c r="AA81" s="296">
        <v>13</v>
      </c>
      <c r="AB81" s="348" t="s">
        <v>183</v>
      </c>
      <c r="AC81" s="297">
        <v>300</v>
      </c>
      <c r="AD81" s="459">
        <f>AD82</f>
        <v>1970.7999999999997</v>
      </c>
      <c r="AE81" s="428">
        <f>AE82</f>
        <v>2279.1999999999998</v>
      </c>
      <c r="AF81" s="438">
        <f>AF82</f>
        <v>0</v>
      </c>
      <c r="AG81" s="19"/>
      <c r="AH81" s="19"/>
      <c r="AI81" s="113"/>
    </row>
    <row r="82" spans="1:35" x14ac:dyDescent="0.25">
      <c r="A82" s="72"/>
      <c r="B82" s="63"/>
      <c r="C82" s="64"/>
      <c r="D82" s="64"/>
      <c r="E82" s="12"/>
      <c r="F82" s="64"/>
      <c r="G82" s="64"/>
      <c r="L82" s="58"/>
      <c r="N82" s="58"/>
      <c r="Q82" s="66"/>
      <c r="R82" s="16"/>
      <c r="S82" s="16"/>
      <c r="T82" s="16"/>
      <c r="U82" s="16"/>
      <c r="V82" s="16"/>
      <c r="X82" s="294" t="s">
        <v>416</v>
      </c>
      <c r="Y82" s="295" t="s">
        <v>62</v>
      </c>
      <c r="Z82" s="296" t="s">
        <v>28</v>
      </c>
      <c r="AA82" s="296">
        <v>13</v>
      </c>
      <c r="AB82" s="348" t="s">
        <v>183</v>
      </c>
      <c r="AC82" s="297">
        <v>360</v>
      </c>
      <c r="AD82" s="459">
        <f>2279.2-30-15.9-262.5</f>
        <v>1970.7999999999997</v>
      </c>
      <c r="AE82" s="428">
        <v>2279.1999999999998</v>
      </c>
      <c r="AF82" s="438">
        <v>0</v>
      </c>
      <c r="AG82" s="19"/>
      <c r="AH82" s="19"/>
      <c r="AI82" s="113"/>
    </row>
    <row r="83" spans="1:35" ht="31.5" x14ac:dyDescent="0.25">
      <c r="A83" s="72"/>
      <c r="B83" s="63"/>
      <c r="C83" s="64"/>
      <c r="D83" s="64"/>
      <c r="E83" s="12"/>
      <c r="F83" s="64"/>
      <c r="G83" s="64"/>
      <c r="L83" s="58"/>
      <c r="N83" s="58"/>
      <c r="Q83" s="66"/>
      <c r="R83" s="16"/>
      <c r="S83" s="16"/>
      <c r="T83" s="16"/>
      <c r="U83" s="16"/>
      <c r="V83" s="16"/>
      <c r="X83" s="294" t="s">
        <v>59</v>
      </c>
      <c r="Y83" s="295" t="s">
        <v>62</v>
      </c>
      <c r="Z83" s="296" t="s">
        <v>28</v>
      </c>
      <c r="AA83" s="296">
        <v>13</v>
      </c>
      <c r="AB83" s="348" t="s">
        <v>183</v>
      </c>
      <c r="AC83" s="297">
        <v>600</v>
      </c>
      <c r="AD83" s="459">
        <f>AD84</f>
        <v>11547.9</v>
      </c>
      <c r="AE83" s="428">
        <f>AE84</f>
        <v>11547.9</v>
      </c>
      <c r="AF83" s="438">
        <f>AF84</f>
        <v>0</v>
      </c>
      <c r="AG83" s="19"/>
      <c r="AH83" s="19"/>
      <c r="AI83" s="113"/>
    </row>
    <row r="84" spans="1:35" x14ac:dyDescent="0.25">
      <c r="A84" s="72"/>
      <c r="B84" s="63"/>
      <c r="C84" s="64"/>
      <c r="D84" s="64"/>
      <c r="E84" s="12"/>
      <c r="F84" s="64"/>
      <c r="G84" s="64"/>
      <c r="L84" s="58"/>
      <c r="N84" s="58"/>
      <c r="Q84" s="66"/>
      <c r="R84" s="16"/>
      <c r="S84" s="16"/>
      <c r="T84" s="16"/>
      <c r="U84" s="16"/>
      <c r="V84" s="16"/>
      <c r="X84" s="294" t="s">
        <v>60</v>
      </c>
      <c r="Y84" s="295" t="s">
        <v>62</v>
      </c>
      <c r="Z84" s="296" t="s">
        <v>28</v>
      </c>
      <c r="AA84" s="296">
        <v>13</v>
      </c>
      <c r="AB84" s="348" t="s">
        <v>183</v>
      </c>
      <c r="AC84" s="297">
        <v>610</v>
      </c>
      <c r="AD84" s="459">
        <f>11547.9</f>
        <v>11547.9</v>
      </c>
      <c r="AE84" s="428">
        <v>11547.9</v>
      </c>
      <c r="AF84" s="438">
        <v>0</v>
      </c>
      <c r="AG84" s="19"/>
      <c r="AH84" s="19"/>
      <c r="AI84" s="113"/>
    </row>
    <row r="85" spans="1:35" ht="47.25" x14ac:dyDescent="0.25">
      <c r="A85" s="72"/>
      <c r="B85" s="63"/>
      <c r="C85" s="64"/>
      <c r="D85" s="64"/>
      <c r="E85" s="12"/>
      <c r="F85" s="64"/>
      <c r="G85" s="64"/>
      <c r="L85" s="58"/>
      <c r="N85" s="58"/>
      <c r="Q85" s="66"/>
      <c r="R85" s="16"/>
      <c r="S85" s="16"/>
      <c r="T85" s="16"/>
      <c r="U85" s="16"/>
      <c r="V85" s="16"/>
      <c r="X85" s="307" t="s">
        <v>704</v>
      </c>
      <c r="Y85" s="295" t="s">
        <v>62</v>
      </c>
      <c r="Z85" s="296" t="s">
        <v>28</v>
      </c>
      <c r="AA85" s="296">
        <v>13</v>
      </c>
      <c r="AB85" s="348" t="s">
        <v>185</v>
      </c>
      <c r="AC85" s="311"/>
      <c r="AD85" s="459">
        <f>AD86</f>
        <v>328.6</v>
      </c>
      <c r="AE85" s="428">
        <f>AE86</f>
        <v>328.6</v>
      </c>
      <c r="AF85" s="438">
        <f>AF86</f>
        <v>328.6</v>
      </c>
      <c r="AG85" s="19"/>
      <c r="AH85" s="19"/>
      <c r="AI85" s="113"/>
    </row>
    <row r="86" spans="1:35" ht="47.25" x14ac:dyDescent="0.25">
      <c r="A86" s="72"/>
      <c r="B86" s="63"/>
      <c r="C86" s="64"/>
      <c r="D86" s="64"/>
      <c r="E86" s="12"/>
      <c r="F86" s="64"/>
      <c r="G86" s="64"/>
      <c r="L86" s="58"/>
      <c r="N86" s="58"/>
      <c r="Q86" s="66"/>
      <c r="R86" s="16"/>
      <c r="S86" s="16"/>
      <c r="T86" s="16"/>
      <c r="U86" s="16"/>
      <c r="V86" s="16"/>
      <c r="X86" s="307" t="s">
        <v>600</v>
      </c>
      <c r="Y86" s="295" t="s">
        <v>62</v>
      </c>
      <c r="Z86" s="296" t="s">
        <v>28</v>
      </c>
      <c r="AA86" s="296">
        <v>13</v>
      </c>
      <c r="AB86" s="348" t="s">
        <v>599</v>
      </c>
      <c r="AC86" s="311"/>
      <c r="AD86" s="459">
        <f>AD87+AD89</f>
        <v>328.6</v>
      </c>
      <c r="AE86" s="459">
        <f>AE87+AE89</f>
        <v>328.6</v>
      </c>
      <c r="AF86" s="459">
        <f>AF87+AF89</f>
        <v>328.6</v>
      </c>
      <c r="AG86" s="19"/>
      <c r="AH86" s="19"/>
      <c r="AI86" s="113"/>
    </row>
    <row r="87" spans="1:35" ht="47.25" x14ac:dyDescent="0.25">
      <c r="A87" s="72"/>
      <c r="B87" s="63"/>
      <c r="C87" s="64"/>
      <c r="D87" s="64"/>
      <c r="E87" s="12"/>
      <c r="F87" s="64"/>
      <c r="G87" s="64"/>
      <c r="L87" s="58"/>
      <c r="N87" s="58"/>
      <c r="Q87" s="66"/>
      <c r="R87" s="16"/>
      <c r="S87" s="16"/>
      <c r="T87" s="16"/>
      <c r="U87" s="16"/>
      <c r="V87" s="16"/>
      <c r="X87" s="294" t="s">
        <v>40</v>
      </c>
      <c r="Y87" s="295" t="s">
        <v>62</v>
      </c>
      <c r="Z87" s="296" t="s">
        <v>28</v>
      </c>
      <c r="AA87" s="296">
        <v>13</v>
      </c>
      <c r="AB87" s="348" t="s">
        <v>599</v>
      </c>
      <c r="AC87" s="311">
        <v>100</v>
      </c>
      <c r="AD87" s="459">
        <f>AD88</f>
        <v>307.90000000000003</v>
      </c>
      <c r="AE87" s="428">
        <f>AE88</f>
        <v>328.6</v>
      </c>
      <c r="AF87" s="438">
        <f>AF88</f>
        <v>328.6</v>
      </c>
      <c r="AG87" s="19"/>
      <c r="AH87" s="19"/>
      <c r="AI87" s="113"/>
    </row>
    <row r="88" spans="1:35" x14ac:dyDescent="0.25">
      <c r="A88" s="72"/>
      <c r="B88" s="63"/>
      <c r="C88" s="64"/>
      <c r="D88" s="64"/>
      <c r="E88" s="12"/>
      <c r="F88" s="64"/>
      <c r="G88" s="64"/>
      <c r="L88" s="58"/>
      <c r="N88" s="58"/>
      <c r="Q88" s="66"/>
      <c r="R88" s="16"/>
      <c r="S88" s="16"/>
      <c r="T88" s="16"/>
      <c r="U88" s="16"/>
      <c r="V88" s="16"/>
      <c r="X88" s="446" t="s">
        <v>94</v>
      </c>
      <c r="Y88" s="295" t="s">
        <v>62</v>
      </c>
      <c r="Z88" s="296" t="s">
        <v>28</v>
      </c>
      <c r="AA88" s="296">
        <v>13</v>
      </c>
      <c r="AB88" s="348" t="s">
        <v>599</v>
      </c>
      <c r="AC88" s="311">
        <v>120</v>
      </c>
      <c r="AD88" s="459">
        <f>328.6-87.4+66.7</f>
        <v>307.90000000000003</v>
      </c>
      <c r="AE88" s="428">
        <v>328.6</v>
      </c>
      <c r="AF88" s="438">
        <v>328.6</v>
      </c>
      <c r="AG88" s="19"/>
      <c r="AH88" s="19"/>
      <c r="AI88" s="113"/>
    </row>
    <row r="89" spans="1:35" x14ac:dyDescent="0.25">
      <c r="A89" s="72"/>
      <c r="B89" s="63"/>
      <c r="C89" s="64"/>
      <c r="D89" s="64"/>
      <c r="E89" s="12"/>
      <c r="F89" s="64"/>
      <c r="G89" s="64"/>
      <c r="L89" s="58"/>
      <c r="N89" s="58"/>
      <c r="Q89" s="66"/>
      <c r="R89" s="16"/>
      <c r="S89" s="16"/>
      <c r="T89" s="16"/>
      <c r="U89" s="16"/>
      <c r="V89" s="16"/>
      <c r="X89" s="294" t="s">
        <v>118</v>
      </c>
      <c r="Y89" s="295" t="s">
        <v>62</v>
      </c>
      <c r="Z89" s="296" t="s">
        <v>28</v>
      </c>
      <c r="AA89" s="296">
        <v>13</v>
      </c>
      <c r="AB89" s="348" t="s">
        <v>599</v>
      </c>
      <c r="AC89" s="311">
        <v>200</v>
      </c>
      <c r="AD89" s="459">
        <f>AD90</f>
        <v>20.700000000000003</v>
      </c>
      <c r="AE89" s="459">
        <f>AE90</f>
        <v>0</v>
      </c>
      <c r="AF89" s="459">
        <f>AF90</f>
        <v>0</v>
      </c>
      <c r="AG89" s="19"/>
      <c r="AH89" s="19"/>
      <c r="AI89" s="113"/>
    </row>
    <row r="90" spans="1:35" ht="31.5" x14ac:dyDescent="0.25">
      <c r="A90" s="72"/>
      <c r="B90" s="63"/>
      <c r="C90" s="64"/>
      <c r="D90" s="64"/>
      <c r="E90" s="12"/>
      <c r="F90" s="64"/>
      <c r="G90" s="64"/>
      <c r="L90" s="58"/>
      <c r="N90" s="58"/>
      <c r="Q90" s="66"/>
      <c r="R90" s="16"/>
      <c r="S90" s="16"/>
      <c r="T90" s="16"/>
      <c r="U90" s="16"/>
      <c r="V90" s="16"/>
      <c r="X90" s="294" t="s">
        <v>51</v>
      </c>
      <c r="Y90" s="295" t="s">
        <v>62</v>
      </c>
      <c r="Z90" s="296" t="s">
        <v>28</v>
      </c>
      <c r="AA90" s="296">
        <v>13</v>
      </c>
      <c r="AB90" s="348" t="s">
        <v>599</v>
      </c>
      <c r="AC90" s="311">
        <v>240</v>
      </c>
      <c r="AD90" s="459">
        <f>87.4-66.7</f>
        <v>20.700000000000003</v>
      </c>
      <c r="AE90" s="428">
        <v>0</v>
      </c>
      <c r="AF90" s="438">
        <v>0</v>
      </c>
      <c r="AG90" s="19"/>
      <c r="AH90" s="19"/>
      <c r="AI90" s="113"/>
    </row>
    <row r="91" spans="1:35" x14ac:dyDescent="0.25">
      <c r="A91" s="72"/>
      <c r="B91" s="63"/>
      <c r="C91" s="64"/>
      <c r="D91" s="64"/>
      <c r="E91" s="12"/>
      <c r="F91" s="64"/>
      <c r="G91" s="64"/>
      <c r="L91" s="58"/>
      <c r="N91" s="58"/>
      <c r="Q91" s="66"/>
      <c r="R91" s="16"/>
      <c r="S91" s="16"/>
      <c r="T91" s="16"/>
      <c r="U91" s="16"/>
      <c r="V91" s="16"/>
      <c r="X91" s="446" t="s">
        <v>623</v>
      </c>
      <c r="Y91" s="295" t="s">
        <v>62</v>
      </c>
      <c r="Z91" s="296" t="s">
        <v>28</v>
      </c>
      <c r="AA91" s="296">
        <v>13</v>
      </c>
      <c r="AB91" s="348" t="s">
        <v>188</v>
      </c>
      <c r="AC91" s="311"/>
      <c r="AD91" s="459">
        <f>AD92+AD124</f>
        <v>136165.29999999999</v>
      </c>
      <c r="AE91" s="428">
        <f>AE92+AE124</f>
        <v>77433.3</v>
      </c>
      <c r="AF91" s="438">
        <f>AF92+AF124</f>
        <v>77435.3</v>
      </c>
      <c r="AG91" s="19"/>
      <c r="AH91" s="19"/>
      <c r="AI91" s="113"/>
    </row>
    <row r="92" spans="1:35" ht="31.5" x14ac:dyDescent="0.25">
      <c r="A92" s="72"/>
      <c r="B92" s="63"/>
      <c r="C92" s="64"/>
      <c r="D92" s="64"/>
      <c r="E92" s="12"/>
      <c r="F92" s="64"/>
      <c r="G92" s="64"/>
      <c r="L92" s="58"/>
      <c r="N92" s="58"/>
      <c r="Q92" s="66"/>
      <c r="R92" s="16"/>
      <c r="S92" s="16"/>
      <c r="T92" s="16"/>
      <c r="U92" s="16"/>
      <c r="V92" s="16"/>
      <c r="X92" s="299" t="s">
        <v>189</v>
      </c>
      <c r="Y92" s="295" t="s">
        <v>62</v>
      </c>
      <c r="Z92" s="296" t="s">
        <v>28</v>
      </c>
      <c r="AA92" s="296">
        <v>13</v>
      </c>
      <c r="AB92" s="348" t="s">
        <v>190</v>
      </c>
      <c r="AC92" s="297"/>
      <c r="AD92" s="459">
        <f>AD93+AD96+AD111+AD106+AD103</f>
        <v>136087.9</v>
      </c>
      <c r="AE92" s="459">
        <f t="shared" ref="AE92:AF92" si="17">AE93+AE96+AE111+AE106+AE103</f>
        <v>77350.400000000009</v>
      </c>
      <c r="AF92" s="459">
        <f t="shared" si="17"/>
        <v>77350.400000000009</v>
      </c>
      <c r="AG92" s="19"/>
      <c r="AH92" s="19"/>
      <c r="AI92" s="113"/>
    </row>
    <row r="93" spans="1:35" x14ac:dyDescent="0.25">
      <c r="A93" s="69"/>
      <c r="B93" s="63"/>
      <c r="C93" s="64"/>
      <c r="D93" s="64"/>
      <c r="E93" s="12"/>
      <c r="F93" s="64"/>
      <c r="G93" s="65"/>
      <c r="H93" s="65"/>
      <c r="I93" s="65"/>
      <c r="J93" s="65"/>
      <c r="K93" s="65"/>
      <c r="L93" s="58"/>
      <c r="M93" s="65"/>
      <c r="N93" s="58"/>
      <c r="P93" s="65"/>
      <c r="Q93" s="66"/>
      <c r="R93" s="16"/>
      <c r="S93" s="16"/>
      <c r="T93" s="16"/>
      <c r="U93" s="16"/>
      <c r="V93" s="16"/>
      <c r="W93" s="16"/>
      <c r="X93" s="307" t="s">
        <v>221</v>
      </c>
      <c r="Y93" s="308" t="s">
        <v>62</v>
      </c>
      <c r="Z93" s="296" t="s">
        <v>28</v>
      </c>
      <c r="AA93" s="296">
        <v>13</v>
      </c>
      <c r="AB93" s="350" t="s">
        <v>222</v>
      </c>
      <c r="AC93" s="297"/>
      <c r="AD93" s="459">
        <f>AD95</f>
        <v>160</v>
      </c>
      <c r="AE93" s="428">
        <f>AE95</f>
        <v>160</v>
      </c>
      <c r="AF93" s="438">
        <f>AF95</f>
        <v>160</v>
      </c>
      <c r="AG93" s="19"/>
      <c r="AH93" s="19"/>
      <c r="AI93" s="113"/>
    </row>
    <row r="94" spans="1:35" x14ac:dyDescent="0.25">
      <c r="A94" s="69"/>
      <c r="B94" s="63"/>
      <c r="C94" s="64"/>
      <c r="D94" s="64"/>
      <c r="E94" s="12"/>
      <c r="F94" s="64"/>
      <c r="G94" s="65"/>
      <c r="H94" s="65"/>
      <c r="I94" s="65"/>
      <c r="J94" s="65"/>
      <c r="K94" s="65"/>
      <c r="L94" s="58"/>
      <c r="M94" s="65"/>
      <c r="N94" s="58"/>
      <c r="P94" s="65"/>
      <c r="Q94" s="66"/>
      <c r="R94" s="16"/>
      <c r="S94" s="16"/>
      <c r="T94" s="16"/>
      <c r="U94" s="16"/>
      <c r="V94" s="16"/>
      <c r="W94" s="16"/>
      <c r="X94" s="294" t="s">
        <v>41</v>
      </c>
      <c r="Y94" s="295" t="s">
        <v>62</v>
      </c>
      <c r="Z94" s="296" t="s">
        <v>28</v>
      </c>
      <c r="AA94" s="296">
        <v>13</v>
      </c>
      <c r="AB94" s="350" t="s">
        <v>222</v>
      </c>
      <c r="AC94" s="297">
        <v>800</v>
      </c>
      <c r="AD94" s="459">
        <f>AD95</f>
        <v>160</v>
      </c>
      <c r="AE94" s="428">
        <f>AE95</f>
        <v>160</v>
      </c>
      <c r="AF94" s="438">
        <f>AF95</f>
        <v>160</v>
      </c>
      <c r="AG94" s="19"/>
      <c r="AH94" s="19"/>
      <c r="AI94" s="113"/>
    </row>
    <row r="95" spans="1:35" x14ac:dyDescent="0.25">
      <c r="A95" s="70"/>
      <c r="B95" s="63"/>
      <c r="C95" s="64"/>
      <c r="D95" s="64"/>
      <c r="E95" s="12"/>
      <c r="F95" s="64"/>
      <c r="G95" s="65"/>
      <c r="H95" s="3"/>
      <c r="L95" s="58"/>
      <c r="N95" s="58"/>
      <c r="P95" s="65"/>
      <c r="Q95" s="66"/>
      <c r="R95" s="16"/>
      <c r="S95" s="16"/>
      <c r="T95" s="16"/>
      <c r="U95" s="16"/>
      <c r="V95" s="16"/>
      <c r="X95" s="294" t="s">
        <v>56</v>
      </c>
      <c r="Y95" s="295" t="s">
        <v>62</v>
      </c>
      <c r="Z95" s="296" t="s">
        <v>28</v>
      </c>
      <c r="AA95" s="296">
        <v>13</v>
      </c>
      <c r="AB95" s="350" t="s">
        <v>222</v>
      </c>
      <c r="AC95" s="297">
        <v>850</v>
      </c>
      <c r="AD95" s="459">
        <v>160</v>
      </c>
      <c r="AE95" s="428">
        <v>160</v>
      </c>
      <c r="AF95" s="438">
        <v>160</v>
      </c>
      <c r="AG95" s="19"/>
      <c r="AH95" s="19"/>
      <c r="AI95" s="113"/>
    </row>
    <row r="96" spans="1:35" ht="31.5" x14ac:dyDescent="0.25">
      <c r="A96" s="72"/>
      <c r="B96" s="63"/>
      <c r="C96" s="64"/>
      <c r="D96" s="64"/>
      <c r="E96" s="12"/>
      <c r="F96" s="64"/>
      <c r="G96" s="64"/>
      <c r="L96" s="58"/>
      <c r="N96" s="58"/>
      <c r="Q96" s="66"/>
      <c r="R96" s="16"/>
      <c r="S96" s="16"/>
      <c r="T96" s="16"/>
      <c r="U96" s="16"/>
      <c r="V96" s="16"/>
      <c r="X96" s="307" t="s">
        <v>546</v>
      </c>
      <c r="Y96" s="295" t="s">
        <v>62</v>
      </c>
      <c r="Z96" s="296" t="s">
        <v>28</v>
      </c>
      <c r="AA96" s="296">
        <v>13</v>
      </c>
      <c r="AB96" s="350" t="s">
        <v>545</v>
      </c>
      <c r="AC96" s="297"/>
      <c r="AD96" s="459">
        <f>AD97+AD99+AD101</f>
        <v>17438.399999999998</v>
      </c>
      <c r="AE96" s="459">
        <f>AE97+AE99+AE101</f>
        <v>13813</v>
      </c>
      <c r="AF96" s="459">
        <f>AF97+AF99+AF101</f>
        <v>13813</v>
      </c>
      <c r="AG96" s="19"/>
      <c r="AH96" s="19"/>
      <c r="AI96" s="113"/>
    </row>
    <row r="97" spans="1:35" ht="47.25" x14ac:dyDescent="0.25">
      <c r="A97" s="72"/>
      <c r="B97" s="63"/>
      <c r="C97" s="64"/>
      <c r="D97" s="64"/>
      <c r="E97" s="12"/>
      <c r="F97" s="64"/>
      <c r="G97" s="64"/>
      <c r="L97" s="58"/>
      <c r="N97" s="58"/>
      <c r="Q97" s="66"/>
      <c r="R97" s="16"/>
      <c r="S97" s="16"/>
      <c r="T97" s="16"/>
      <c r="U97" s="16"/>
      <c r="V97" s="16"/>
      <c r="X97" s="294" t="s">
        <v>40</v>
      </c>
      <c r="Y97" s="295" t="s">
        <v>62</v>
      </c>
      <c r="Z97" s="296" t="s">
        <v>28</v>
      </c>
      <c r="AA97" s="296">
        <v>13</v>
      </c>
      <c r="AB97" s="350" t="s">
        <v>545</v>
      </c>
      <c r="AC97" s="314" t="s">
        <v>125</v>
      </c>
      <c r="AD97" s="459">
        <f>AD98</f>
        <v>16527.099999999999</v>
      </c>
      <c r="AE97" s="428">
        <f>AE98</f>
        <v>12901.7</v>
      </c>
      <c r="AF97" s="438">
        <f>AF98</f>
        <v>12901.7</v>
      </c>
      <c r="AG97" s="19"/>
      <c r="AH97" s="19"/>
      <c r="AI97" s="113"/>
    </row>
    <row r="98" spans="1:35" x14ac:dyDescent="0.25">
      <c r="A98" s="72"/>
      <c r="B98" s="63"/>
      <c r="C98" s="64"/>
      <c r="D98" s="64"/>
      <c r="E98" s="12"/>
      <c r="F98" s="64"/>
      <c r="G98" s="64"/>
      <c r="L98" s="58"/>
      <c r="N98" s="58"/>
      <c r="Q98" s="66"/>
      <c r="R98" s="16"/>
      <c r="S98" s="16"/>
      <c r="T98" s="16"/>
      <c r="U98" s="16"/>
      <c r="V98" s="16"/>
      <c r="X98" s="294" t="s">
        <v>67</v>
      </c>
      <c r="Y98" s="295" t="s">
        <v>62</v>
      </c>
      <c r="Z98" s="296" t="s">
        <v>28</v>
      </c>
      <c r="AA98" s="296">
        <v>13</v>
      </c>
      <c r="AB98" s="350" t="s">
        <v>545</v>
      </c>
      <c r="AC98" s="314" t="s">
        <v>126</v>
      </c>
      <c r="AD98" s="459">
        <f>15778.8+748.3</f>
        <v>16527.099999999999</v>
      </c>
      <c r="AE98" s="428">
        <v>12901.7</v>
      </c>
      <c r="AF98" s="438">
        <v>12901.7</v>
      </c>
      <c r="AG98" s="19"/>
      <c r="AH98" s="19"/>
      <c r="AI98" s="113"/>
    </row>
    <row r="99" spans="1:35" x14ac:dyDescent="0.25">
      <c r="A99" s="72"/>
      <c r="B99" s="63"/>
      <c r="C99" s="64"/>
      <c r="D99" s="64"/>
      <c r="E99" s="12"/>
      <c r="F99" s="64"/>
      <c r="G99" s="64"/>
      <c r="L99" s="58"/>
      <c r="N99" s="58"/>
      <c r="Q99" s="66"/>
      <c r="R99" s="16"/>
      <c r="S99" s="16"/>
      <c r="T99" s="16"/>
      <c r="U99" s="16"/>
      <c r="V99" s="16"/>
      <c r="X99" s="294" t="s">
        <v>118</v>
      </c>
      <c r="Y99" s="295" t="s">
        <v>62</v>
      </c>
      <c r="Z99" s="296" t="s">
        <v>28</v>
      </c>
      <c r="AA99" s="296">
        <v>13</v>
      </c>
      <c r="AB99" s="350" t="s">
        <v>545</v>
      </c>
      <c r="AC99" s="314" t="s">
        <v>36</v>
      </c>
      <c r="AD99" s="459">
        <f>AD100</f>
        <v>829.3</v>
      </c>
      <c r="AE99" s="428">
        <f>AE100</f>
        <v>911.3</v>
      </c>
      <c r="AF99" s="438">
        <f>AF100</f>
        <v>911.3</v>
      </c>
      <c r="AG99" s="19"/>
      <c r="AH99" s="19"/>
      <c r="AI99" s="113"/>
    </row>
    <row r="100" spans="1:35" ht="31.5" x14ac:dyDescent="0.25">
      <c r="A100" s="72"/>
      <c r="B100" s="63"/>
      <c r="C100" s="64"/>
      <c r="D100" s="64"/>
      <c r="E100" s="12"/>
      <c r="F100" s="64"/>
      <c r="G100" s="64"/>
      <c r="L100" s="58"/>
      <c r="N100" s="58"/>
      <c r="Q100" s="66"/>
      <c r="R100" s="16"/>
      <c r="S100" s="16"/>
      <c r="T100" s="16"/>
      <c r="U100" s="16"/>
      <c r="V100" s="16"/>
      <c r="X100" s="294" t="s">
        <v>51</v>
      </c>
      <c r="Y100" s="295" t="s">
        <v>62</v>
      </c>
      <c r="Z100" s="296" t="s">
        <v>28</v>
      </c>
      <c r="AA100" s="296">
        <v>13</v>
      </c>
      <c r="AB100" s="350" t="s">
        <v>545</v>
      </c>
      <c r="AC100" s="314" t="s">
        <v>64</v>
      </c>
      <c r="AD100" s="459">
        <f>911.3-0.1-81.9</f>
        <v>829.3</v>
      </c>
      <c r="AE100" s="428">
        <v>911.3</v>
      </c>
      <c r="AF100" s="438">
        <v>911.3</v>
      </c>
      <c r="AG100" s="19"/>
      <c r="AH100" s="19"/>
      <c r="AI100" s="113"/>
    </row>
    <row r="101" spans="1:35" x14ac:dyDescent="0.25">
      <c r="A101" s="72"/>
      <c r="B101" s="63"/>
      <c r="C101" s="64"/>
      <c r="D101" s="64"/>
      <c r="E101" s="12"/>
      <c r="F101" s="64"/>
      <c r="G101" s="64"/>
      <c r="L101" s="58"/>
      <c r="N101" s="58"/>
      <c r="Q101" s="66"/>
      <c r="R101" s="16"/>
      <c r="S101" s="16"/>
      <c r="T101" s="16"/>
      <c r="U101" s="16"/>
      <c r="V101" s="16"/>
      <c r="X101" s="294" t="s">
        <v>41</v>
      </c>
      <c r="Y101" s="295" t="s">
        <v>62</v>
      </c>
      <c r="Z101" s="296" t="s">
        <v>28</v>
      </c>
      <c r="AA101" s="296">
        <v>13</v>
      </c>
      <c r="AB101" s="350" t="s">
        <v>545</v>
      </c>
      <c r="AC101" s="314" t="s">
        <v>342</v>
      </c>
      <c r="AD101" s="459">
        <f>AD102</f>
        <v>82</v>
      </c>
      <c r="AE101" s="459">
        <f>AE102</f>
        <v>0</v>
      </c>
      <c r="AF101" s="459">
        <f>AF102</f>
        <v>0</v>
      </c>
      <c r="AG101" s="19"/>
      <c r="AH101" s="19"/>
      <c r="AI101" s="113"/>
    </row>
    <row r="102" spans="1:35" x14ac:dyDescent="0.25">
      <c r="A102" s="72"/>
      <c r="B102" s="63"/>
      <c r="C102" s="64"/>
      <c r="D102" s="64"/>
      <c r="E102" s="12"/>
      <c r="F102" s="64"/>
      <c r="G102" s="64"/>
      <c r="L102" s="58"/>
      <c r="N102" s="58"/>
      <c r="Q102" s="66"/>
      <c r="R102" s="16"/>
      <c r="S102" s="16"/>
      <c r="T102" s="16"/>
      <c r="U102" s="16"/>
      <c r="V102" s="16"/>
      <c r="X102" s="294" t="s">
        <v>56</v>
      </c>
      <c r="Y102" s="295" t="s">
        <v>62</v>
      </c>
      <c r="Z102" s="296" t="s">
        <v>28</v>
      </c>
      <c r="AA102" s="296">
        <v>13</v>
      </c>
      <c r="AB102" s="350" t="s">
        <v>545</v>
      </c>
      <c r="AC102" s="511" t="s">
        <v>805</v>
      </c>
      <c r="AD102" s="459">
        <f>0.1+81.9</f>
        <v>82</v>
      </c>
      <c r="AE102" s="428">
        <v>0</v>
      </c>
      <c r="AF102" s="438">
        <v>0</v>
      </c>
      <c r="AG102" s="19"/>
      <c r="AH102" s="19"/>
      <c r="AI102" s="113"/>
    </row>
    <row r="103" spans="1:35" ht="48" customHeight="1" x14ac:dyDescent="0.25">
      <c r="A103" s="72"/>
      <c r="B103" s="63"/>
      <c r="C103" s="64"/>
      <c r="D103" s="64"/>
      <c r="E103" s="12"/>
      <c r="F103" s="64"/>
      <c r="G103" s="64"/>
      <c r="L103" s="58"/>
      <c r="N103" s="58"/>
      <c r="Q103" s="66"/>
      <c r="R103" s="16"/>
      <c r="S103" s="16"/>
      <c r="T103" s="16"/>
      <c r="U103" s="16"/>
      <c r="V103" s="16"/>
      <c r="X103" s="294" t="s">
        <v>896</v>
      </c>
      <c r="Y103" s="295" t="s">
        <v>62</v>
      </c>
      <c r="Z103" s="296" t="s">
        <v>28</v>
      </c>
      <c r="AA103" s="296">
        <v>13</v>
      </c>
      <c r="AB103" s="510" t="s">
        <v>897</v>
      </c>
      <c r="AC103" s="313"/>
      <c r="AD103" s="459">
        <f>AD104</f>
        <v>0</v>
      </c>
      <c r="AE103" s="459">
        <f>AE104</f>
        <v>19939</v>
      </c>
      <c r="AF103" s="459">
        <f t="shared" ref="AF103" si="18">AF104</f>
        <v>0</v>
      </c>
      <c r="AG103" s="19"/>
      <c r="AH103" s="19"/>
      <c r="AI103" s="113"/>
    </row>
    <row r="104" spans="1:35" x14ac:dyDescent="0.25">
      <c r="A104" s="72"/>
      <c r="B104" s="63"/>
      <c r="C104" s="64"/>
      <c r="D104" s="64"/>
      <c r="E104" s="12"/>
      <c r="F104" s="64"/>
      <c r="G104" s="64"/>
      <c r="L104" s="58"/>
      <c r="N104" s="58"/>
      <c r="Q104" s="66"/>
      <c r="R104" s="16"/>
      <c r="S104" s="16"/>
      <c r="T104" s="16"/>
      <c r="U104" s="16"/>
      <c r="V104" s="16"/>
      <c r="X104" s="294" t="s">
        <v>118</v>
      </c>
      <c r="Y104" s="295" t="s">
        <v>62</v>
      </c>
      <c r="Z104" s="296" t="s">
        <v>28</v>
      </c>
      <c r="AA104" s="296">
        <v>13</v>
      </c>
      <c r="AB104" s="350" t="s">
        <v>897</v>
      </c>
      <c r="AC104" s="512" t="s">
        <v>36</v>
      </c>
      <c r="AD104" s="459">
        <f>AD105</f>
        <v>0</v>
      </c>
      <c r="AE104" s="459">
        <f>AE105</f>
        <v>19939</v>
      </c>
      <c r="AF104" s="459">
        <f t="shared" ref="AF104" si="19">AF105</f>
        <v>0</v>
      </c>
      <c r="AG104" s="19"/>
      <c r="AH104" s="19"/>
      <c r="AI104" s="113"/>
    </row>
    <row r="105" spans="1:35" ht="31.5" x14ac:dyDescent="0.25">
      <c r="A105" s="72"/>
      <c r="B105" s="63"/>
      <c r="C105" s="64"/>
      <c r="D105" s="64"/>
      <c r="E105" s="12"/>
      <c r="F105" s="64"/>
      <c r="G105" s="64"/>
      <c r="L105" s="58"/>
      <c r="N105" s="58"/>
      <c r="Q105" s="66"/>
      <c r="R105" s="16"/>
      <c r="S105" s="16"/>
      <c r="T105" s="16"/>
      <c r="U105" s="16"/>
      <c r="V105" s="16"/>
      <c r="X105" s="294" t="s">
        <v>51</v>
      </c>
      <c r="Y105" s="295" t="s">
        <v>62</v>
      </c>
      <c r="Z105" s="296" t="s">
        <v>28</v>
      </c>
      <c r="AA105" s="296">
        <v>13</v>
      </c>
      <c r="AB105" s="350" t="s">
        <v>897</v>
      </c>
      <c r="AC105" s="314" t="s">
        <v>64</v>
      </c>
      <c r="AD105" s="459">
        <v>0</v>
      </c>
      <c r="AE105" s="459">
        <v>19939</v>
      </c>
      <c r="AF105" s="489">
        <v>0</v>
      </c>
      <c r="AG105" s="19"/>
      <c r="AH105" s="19"/>
      <c r="AI105" s="113"/>
    </row>
    <row r="106" spans="1:35" ht="31.5" x14ac:dyDescent="0.25">
      <c r="A106" s="72"/>
      <c r="B106" s="63"/>
      <c r="C106" s="64"/>
      <c r="D106" s="64"/>
      <c r="E106" s="12"/>
      <c r="F106" s="64"/>
      <c r="G106" s="64"/>
      <c r="L106" s="58"/>
      <c r="N106" s="58"/>
      <c r="Q106" s="66"/>
      <c r="R106" s="16"/>
      <c r="S106" s="16"/>
      <c r="T106" s="16"/>
      <c r="U106" s="16"/>
      <c r="V106" s="16"/>
      <c r="X106" s="183" t="s">
        <v>215</v>
      </c>
      <c r="Y106" s="295" t="s">
        <v>62</v>
      </c>
      <c r="Z106" s="9" t="s">
        <v>28</v>
      </c>
      <c r="AA106" s="131">
        <v>13</v>
      </c>
      <c r="AB106" s="203" t="s">
        <v>216</v>
      </c>
      <c r="AC106" s="350"/>
      <c r="AD106" s="459">
        <f>AD107+AD109</f>
        <v>19566.099999999999</v>
      </c>
      <c r="AE106" s="459">
        <f>AE107+AE109</f>
        <v>6451.2000000000016</v>
      </c>
      <c r="AF106" s="459">
        <f>AF107+AF109</f>
        <v>26390.2</v>
      </c>
      <c r="AG106" s="19"/>
      <c r="AH106" s="19"/>
      <c r="AI106" s="113"/>
    </row>
    <row r="107" spans="1:35" ht="47.25" x14ac:dyDescent="0.25">
      <c r="A107" s="72"/>
      <c r="B107" s="63"/>
      <c r="C107" s="64"/>
      <c r="D107" s="64"/>
      <c r="E107" s="12"/>
      <c r="F107" s="64"/>
      <c r="G107" s="64"/>
      <c r="L107" s="58"/>
      <c r="N107" s="58"/>
      <c r="Q107" s="66"/>
      <c r="R107" s="16"/>
      <c r="S107" s="16"/>
      <c r="T107" s="16"/>
      <c r="U107" s="16"/>
      <c r="V107" s="16"/>
      <c r="X107" s="294" t="s">
        <v>40</v>
      </c>
      <c r="Y107" s="295" t="s">
        <v>62</v>
      </c>
      <c r="Z107" s="296" t="s">
        <v>28</v>
      </c>
      <c r="AA107" s="296">
        <v>13</v>
      </c>
      <c r="AB107" s="203" t="s">
        <v>216</v>
      </c>
      <c r="AC107" s="314" t="s">
        <v>125</v>
      </c>
      <c r="AD107" s="459">
        <f>AD108</f>
        <v>18810</v>
      </c>
      <c r="AE107" s="459">
        <f>AE108</f>
        <v>4979.4000000000015</v>
      </c>
      <c r="AF107" s="459">
        <f>AF108</f>
        <v>24918.400000000001</v>
      </c>
      <c r="AG107" s="19"/>
      <c r="AH107" s="19"/>
      <c r="AI107" s="113"/>
    </row>
    <row r="108" spans="1:35" x14ac:dyDescent="0.25">
      <c r="A108" s="72"/>
      <c r="B108" s="63"/>
      <c r="C108" s="64"/>
      <c r="D108" s="64"/>
      <c r="E108" s="12"/>
      <c r="F108" s="64"/>
      <c r="G108" s="64"/>
      <c r="L108" s="58"/>
      <c r="N108" s="58"/>
      <c r="Q108" s="66"/>
      <c r="R108" s="16"/>
      <c r="S108" s="16"/>
      <c r="T108" s="16"/>
      <c r="U108" s="16"/>
      <c r="V108" s="16"/>
      <c r="X108" s="294" t="s">
        <v>67</v>
      </c>
      <c r="Y108" s="295" t="s">
        <v>62</v>
      </c>
      <c r="Z108" s="296" t="s">
        <v>28</v>
      </c>
      <c r="AA108" s="296">
        <v>13</v>
      </c>
      <c r="AB108" s="203" t="s">
        <v>216</v>
      </c>
      <c r="AC108" s="314" t="s">
        <v>126</v>
      </c>
      <c r="AD108" s="459">
        <f>13228.4+5344.1+237.5</f>
        <v>18810</v>
      </c>
      <c r="AE108" s="428">
        <f>24918.4-19939</f>
        <v>4979.4000000000015</v>
      </c>
      <c r="AF108" s="438">
        <v>24918.400000000001</v>
      </c>
      <c r="AG108" s="19"/>
      <c r="AH108" s="19"/>
      <c r="AI108" s="113"/>
    </row>
    <row r="109" spans="1:35" x14ac:dyDescent="0.25">
      <c r="A109" s="72"/>
      <c r="B109" s="63"/>
      <c r="C109" s="64"/>
      <c r="D109" s="64"/>
      <c r="E109" s="12"/>
      <c r="F109" s="64"/>
      <c r="G109" s="64"/>
      <c r="L109" s="58"/>
      <c r="N109" s="58"/>
      <c r="Q109" s="66"/>
      <c r="R109" s="16"/>
      <c r="S109" s="16"/>
      <c r="T109" s="16"/>
      <c r="U109" s="16"/>
      <c r="V109" s="16"/>
      <c r="X109" s="294" t="s">
        <v>118</v>
      </c>
      <c r="Y109" s="295" t="s">
        <v>62</v>
      </c>
      <c r="Z109" s="296" t="s">
        <v>28</v>
      </c>
      <c r="AA109" s="296">
        <v>13</v>
      </c>
      <c r="AB109" s="203" t="s">
        <v>216</v>
      </c>
      <c r="AC109" s="314" t="s">
        <v>36</v>
      </c>
      <c r="AD109" s="459">
        <f>AD110</f>
        <v>756.1</v>
      </c>
      <c r="AE109" s="459">
        <f>AE110</f>
        <v>1471.8</v>
      </c>
      <c r="AF109" s="459">
        <f>AF110</f>
        <v>1471.8</v>
      </c>
      <c r="AG109" s="19"/>
      <c r="AH109" s="19"/>
      <c r="AI109" s="113"/>
    </row>
    <row r="110" spans="1:35" ht="31.5" x14ac:dyDescent="0.25">
      <c r="A110" s="72"/>
      <c r="B110" s="63"/>
      <c r="C110" s="64"/>
      <c r="D110" s="64"/>
      <c r="E110" s="12"/>
      <c r="F110" s="64"/>
      <c r="G110" s="64"/>
      <c r="L110" s="58"/>
      <c r="N110" s="58"/>
      <c r="Q110" s="66"/>
      <c r="R110" s="16"/>
      <c r="S110" s="16"/>
      <c r="T110" s="16"/>
      <c r="U110" s="16"/>
      <c r="V110" s="16"/>
      <c r="X110" s="294" t="s">
        <v>51</v>
      </c>
      <c r="Y110" s="295" t="s">
        <v>62</v>
      </c>
      <c r="Z110" s="296" t="s">
        <v>28</v>
      </c>
      <c r="AA110" s="296">
        <v>13</v>
      </c>
      <c r="AB110" s="203" t="s">
        <v>216</v>
      </c>
      <c r="AC110" s="314" t="s">
        <v>64</v>
      </c>
      <c r="AD110" s="459">
        <f>556.1+200</f>
        <v>756.1</v>
      </c>
      <c r="AE110" s="428">
        <v>1471.8</v>
      </c>
      <c r="AF110" s="438">
        <v>1471.8</v>
      </c>
      <c r="AG110" s="19"/>
      <c r="AH110" s="19"/>
      <c r="AI110" s="113"/>
    </row>
    <row r="111" spans="1:35" ht="31.5" x14ac:dyDescent="0.25">
      <c r="A111" s="72"/>
      <c r="B111" s="63"/>
      <c r="C111" s="64"/>
      <c r="D111" s="64"/>
      <c r="E111" s="12"/>
      <c r="F111" s="64"/>
      <c r="G111" s="64"/>
      <c r="L111" s="58"/>
      <c r="N111" s="58"/>
      <c r="Q111" s="66"/>
      <c r="R111" s="16"/>
      <c r="S111" s="16"/>
      <c r="T111" s="16"/>
      <c r="U111" s="16"/>
      <c r="V111" s="16"/>
      <c r="X111" s="307" t="s">
        <v>201</v>
      </c>
      <c r="Y111" s="295" t="s">
        <v>62</v>
      </c>
      <c r="Z111" s="296" t="s">
        <v>28</v>
      </c>
      <c r="AA111" s="296">
        <v>13</v>
      </c>
      <c r="AB111" s="350" t="s">
        <v>202</v>
      </c>
      <c r="AC111" s="297"/>
      <c r="AD111" s="459">
        <f>AD112+AD117</f>
        <v>98923.4</v>
      </c>
      <c r="AE111" s="428">
        <f>AE112+AE117</f>
        <v>36987.200000000004</v>
      </c>
      <c r="AF111" s="438">
        <f>AF112+AF117</f>
        <v>36987.200000000004</v>
      </c>
      <c r="AG111" s="19"/>
      <c r="AH111" s="19"/>
      <c r="AI111" s="113"/>
    </row>
    <row r="112" spans="1:35" ht="47.25" x14ac:dyDescent="0.25">
      <c r="A112" s="72"/>
      <c r="B112" s="63"/>
      <c r="C112" s="64"/>
      <c r="D112" s="64"/>
      <c r="E112" s="12"/>
      <c r="F112" s="64"/>
      <c r="G112" s="64"/>
      <c r="L112" s="58"/>
      <c r="N112" s="58"/>
      <c r="Q112" s="66"/>
      <c r="R112" s="16"/>
      <c r="S112" s="16"/>
      <c r="T112" s="16"/>
      <c r="U112" s="16"/>
      <c r="V112" s="16"/>
      <c r="X112" s="294" t="s">
        <v>217</v>
      </c>
      <c r="Y112" s="295" t="s">
        <v>62</v>
      </c>
      <c r="Z112" s="296" t="s">
        <v>28</v>
      </c>
      <c r="AA112" s="296">
        <v>13</v>
      </c>
      <c r="AB112" s="350" t="s">
        <v>218</v>
      </c>
      <c r="AC112" s="314"/>
      <c r="AD112" s="459">
        <f>AD113+AD115</f>
        <v>79325.799999999988</v>
      </c>
      <c r="AE112" s="428">
        <f>AE113+AE115</f>
        <v>27679.600000000002</v>
      </c>
      <c r="AF112" s="438">
        <f>AF113+AF115</f>
        <v>27679.600000000002</v>
      </c>
      <c r="AG112" s="19"/>
      <c r="AH112" s="19"/>
      <c r="AI112" s="113"/>
    </row>
    <row r="113" spans="1:35" ht="47.25" x14ac:dyDescent="0.25">
      <c r="A113" s="72"/>
      <c r="B113" s="63"/>
      <c r="C113" s="64"/>
      <c r="D113" s="64"/>
      <c r="E113" s="12"/>
      <c r="F113" s="64"/>
      <c r="G113" s="64"/>
      <c r="L113" s="58"/>
      <c r="N113" s="58"/>
      <c r="Q113" s="66"/>
      <c r="R113" s="16"/>
      <c r="S113" s="16"/>
      <c r="T113" s="16"/>
      <c r="U113" s="16"/>
      <c r="V113" s="16"/>
      <c r="X113" s="294" t="s">
        <v>40</v>
      </c>
      <c r="Y113" s="295" t="s">
        <v>62</v>
      </c>
      <c r="Z113" s="296" t="s">
        <v>28</v>
      </c>
      <c r="AA113" s="296">
        <v>13</v>
      </c>
      <c r="AB113" s="350" t="s">
        <v>218</v>
      </c>
      <c r="AC113" s="314" t="s">
        <v>125</v>
      </c>
      <c r="AD113" s="459">
        <f>AD114</f>
        <v>78583.899999999994</v>
      </c>
      <c r="AE113" s="428">
        <f>AE114</f>
        <v>26937.7</v>
      </c>
      <c r="AF113" s="438">
        <f>AF114</f>
        <v>26937.7</v>
      </c>
      <c r="AG113" s="19"/>
      <c r="AH113" s="19"/>
      <c r="AI113" s="113"/>
    </row>
    <row r="114" spans="1:35" x14ac:dyDescent="0.25">
      <c r="A114" s="72"/>
      <c r="B114" s="63"/>
      <c r="C114" s="64"/>
      <c r="D114" s="64"/>
      <c r="E114" s="12"/>
      <c r="F114" s="64"/>
      <c r="G114" s="64"/>
      <c r="L114" s="58"/>
      <c r="N114" s="58"/>
      <c r="Q114" s="66"/>
      <c r="R114" s="16"/>
      <c r="S114" s="16"/>
      <c r="T114" s="16"/>
      <c r="U114" s="16"/>
      <c r="V114" s="16"/>
      <c r="X114" s="294" t="s">
        <v>67</v>
      </c>
      <c r="Y114" s="295" t="s">
        <v>62</v>
      </c>
      <c r="Z114" s="296" t="s">
        <v>28</v>
      </c>
      <c r="AA114" s="296">
        <v>13</v>
      </c>
      <c r="AB114" s="350" t="s">
        <v>218</v>
      </c>
      <c r="AC114" s="314" t="s">
        <v>126</v>
      </c>
      <c r="AD114" s="459">
        <f>76937.7+1646.2</f>
        <v>78583.899999999994</v>
      </c>
      <c r="AE114" s="428">
        <v>26937.7</v>
      </c>
      <c r="AF114" s="438">
        <v>26937.7</v>
      </c>
      <c r="AG114" s="19"/>
      <c r="AH114" s="19"/>
      <c r="AI114" s="113"/>
    </row>
    <row r="115" spans="1:35" x14ac:dyDescent="0.25">
      <c r="A115" s="72"/>
      <c r="B115" s="63"/>
      <c r="C115" s="64"/>
      <c r="D115" s="64"/>
      <c r="E115" s="12"/>
      <c r="F115" s="64"/>
      <c r="G115" s="64"/>
      <c r="L115" s="58"/>
      <c r="N115" s="58"/>
      <c r="Q115" s="66"/>
      <c r="R115" s="16"/>
      <c r="S115" s="16"/>
      <c r="T115" s="16"/>
      <c r="U115" s="16"/>
      <c r="V115" s="16"/>
      <c r="X115" s="294" t="s">
        <v>118</v>
      </c>
      <c r="Y115" s="295" t="s">
        <v>62</v>
      </c>
      <c r="Z115" s="296" t="s">
        <v>28</v>
      </c>
      <c r="AA115" s="296">
        <v>13</v>
      </c>
      <c r="AB115" s="350" t="s">
        <v>218</v>
      </c>
      <c r="AC115" s="314" t="s">
        <v>36</v>
      </c>
      <c r="AD115" s="459">
        <f>AD116</f>
        <v>741.9</v>
      </c>
      <c r="AE115" s="428">
        <f>AE116</f>
        <v>741.9</v>
      </c>
      <c r="AF115" s="438">
        <f>AF116</f>
        <v>741.9</v>
      </c>
      <c r="AG115" s="19"/>
      <c r="AH115" s="19"/>
      <c r="AI115" s="113"/>
    </row>
    <row r="116" spans="1:35" ht="31.5" x14ac:dyDescent="0.25">
      <c r="A116" s="72"/>
      <c r="B116" s="63"/>
      <c r="C116" s="64"/>
      <c r="D116" s="64"/>
      <c r="E116" s="12"/>
      <c r="F116" s="64"/>
      <c r="G116" s="64"/>
      <c r="L116" s="58"/>
      <c r="N116" s="58"/>
      <c r="Q116" s="66"/>
      <c r="R116" s="16"/>
      <c r="S116" s="16"/>
      <c r="T116" s="16"/>
      <c r="U116" s="16"/>
      <c r="V116" s="16"/>
      <c r="X116" s="294" t="s">
        <v>51</v>
      </c>
      <c r="Y116" s="295" t="s">
        <v>62</v>
      </c>
      <c r="Z116" s="296" t="s">
        <v>28</v>
      </c>
      <c r="AA116" s="296">
        <v>13</v>
      </c>
      <c r="AB116" s="350" t="s">
        <v>218</v>
      </c>
      <c r="AC116" s="314" t="s">
        <v>64</v>
      </c>
      <c r="AD116" s="459">
        <v>741.9</v>
      </c>
      <c r="AE116" s="428">
        <v>741.9</v>
      </c>
      <c r="AF116" s="438">
        <v>741.9</v>
      </c>
      <c r="AG116" s="19"/>
      <c r="AH116" s="19"/>
      <c r="AI116" s="113"/>
    </row>
    <row r="117" spans="1:35" ht="47.25" x14ac:dyDescent="0.25">
      <c r="A117" s="72"/>
      <c r="B117" s="63"/>
      <c r="C117" s="64"/>
      <c r="D117" s="64"/>
      <c r="E117" s="12"/>
      <c r="F117" s="64"/>
      <c r="G117" s="64"/>
      <c r="L117" s="58"/>
      <c r="N117" s="58"/>
      <c r="Q117" s="66"/>
      <c r="R117" s="16"/>
      <c r="S117" s="16"/>
      <c r="T117" s="16"/>
      <c r="U117" s="16"/>
      <c r="V117" s="16"/>
      <c r="X117" s="294" t="s">
        <v>379</v>
      </c>
      <c r="Y117" s="295" t="s">
        <v>62</v>
      </c>
      <c r="Z117" s="296" t="s">
        <v>28</v>
      </c>
      <c r="AA117" s="296">
        <v>13</v>
      </c>
      <c r="AB117" s="350" t="s">
        <v>380</v>
      </c>
      <c r="AC117" s="370"/>
      <c r="AD117" s="459">
        <f>AD118+AD120+AD122</f>
        <v>19597.599999999999</v>
      </c>
      <c r="AE117" s="428">
        <f>AE118+AE120</f>
        <v>9307.6</v>
      </c>
      <c r="AF117" s="438">
        <f>AF118+AF120</f>
        <v>9307.6</v>
      </c>
      <c r="AG117" s="19"/>
      <c r="AH117" s="19"/>
      <c r="AI117" s="113"/>
    </row>
    <row r="118" spans="1:35" ht="47.25" x14ac:dyDescent="0.25">
      <c r="A118" s="72"/>
      <c r="B118" s="63"/>
      <c r="C118" s="64"/>
      <c r="D118" s="64"/>
      <c r="E118" s="12"/>
      <c r="F118" s="64"/>
      <c r="G118" s="64"/>
      <c r="L118" s="58"/>
      <c r="N118" s="58"/>
      <c r="Q118" s="66"/>
      <c r="R118" s="16"/>
      <c r="S118" s="16"/>
      <c r="T118" s="16"/>
      <c r="U118" s="16"/>
      <c r="V118" s="16"/>
      <c r="X118" s="294" t="s">
        <v>40</v>
      </c>
      <c r="Y118" s="295" t="s">
        <v>62</v>
      </c>
      <c r="Z118" s="296" t="s">
        <v>28</v>
      </c>
      <c r="AA118" s="296">
        <v>13</v>
      </c>
      <c r="AB118" s="350" t="s">
        <v>380</v>
      </c>
      <c r="AC118" s="314" t="s">
        <v>125</v>
      </c>
      <c r="AD118" s="459">
        <f>AD119</f>
        <v>18603.599999999999</v>
      </c>
      <c r="AE118" s="428">
        <f>AE119</f>
        <v>8603.6</v>
      </c>
      <c r="AF118" s="438">
        <f>AF119</f>
        <v>8603.6</v>
      </c>
      <c r="AG118" s="19"/>
      <c r="AH118" s="19"/>
      <c r="AI118" s="113"/>
    </row>
    <row r="119" spans="1:35" x14ac:dyDescent="0.25">
      <c r="A119" s="72"/>
      <c r="B119" s="63"/>
      <c r="C119" s="64"/>
      <c r="D119" s="64"/>
      <c r="E119" s="12"/>
      <c r="F119" s="64"/>
      <c r="G119" s="64"/>
      <c r="L119" s="58"/>
      <c r="N119" s="58"/>
      <c r="Q119" s="66"/>
      <c r="R119" s="16"/>
      <c r="S119" s="16"/>
      <c r="T119" s="16"/>
      <c r="U119" s="16"/>
      <c r="V119" s="16"/>
      <c r="X119" s="294" t="s">
        <v>67</v>
      </c>
      <c r="Y119" s="295" t="s">
        <v>62</v>
      </c>
      <c r="Z119" s="296" t="s">
        <v>28</v>
      </c>
      <c r="AA119" s="296">
        <v>13</v>
      </c>
      <c r="AB119" s="350" t="s">
        <v>380</v>
      </c>
      <c r="AC119" s="314" t="s">
        <v>126</v>
      </c>
      <c r="AD119" s="459">
        <v>18603.599999999999</v>
      </c>
      <c r="AE119" s="428">
        <v>8603.6</v>
      </c>
      <c r="AF119" s="438">
        <v>8603.6</v>
      </c>
      <c r="AG119" s="19"/>
      <c r="AH119" s="19"/>
      <c r="AI119" s="113"/>
    </row>
    <row r="120" spans="1:35" x14ac:dyDescent="0.25">
      <c r="A120" s="72"/>
      <c r="B120" s="63"/>
      <c r="C120" s="64"/>
      <c r="D120" s="64"/>
      <c r="E120" s="12"/>
      <c r="F120" s="64"/>
      <c r="G120" s="64"/>
      <c r="L120" s="58"/>
      <c r="N120" s="58"/>
      <c r="Q120" s="66"/>
      <c r="R120" s="16"/>
      <c r="S120" s="16"/>
      <c r="T120" s="16"/>
      <c r="U120" s="16"/>
      <c r="V120" s="16"/>
      <c r="X120" s="294" t="s">
        <v>118</v>
      </c>
      <c r="Y120" s="295" t="s">
        <v>62</v>
      </c>
      <c r="Z120" s="296" t="s">
        <v>28</v>
      </c>
      <c r="AA120" s="296">
        <v>13</v>
      </c>
      <c r="AB120" s="350" t="s">
        <v>380</v>
      </c>
      <c r="AC120" s="314" t="s">
        <v>36</v>
      </c>
      <c r="AD120" s="459">
        <f>AD121</f>
        <v>993.3</v>
      </c>
      <c r="AE120" s="428">
        <f>AE121</f>
        <v>704</v>
      </c>
      <c r="AF120" s="438">
        <f>AF121</f>
        <v>704</v>
      </c>
      <c r="AG120" s="19"/>
      <c r="AH120" s="19"/>
      <c r="AI120" s="113"/>
    </row>
    <row r="121" spans="1:35" ht="31.5" x14ac:dyDescent="0.25">
      <c r="A121" s="72"/>
      <c r="B121" s="63"/>
      <c r="C121" s="64"/>
      <c r="D121" s="64"/>
      <c r="E121" s="12"/>
      <c r="F121" s="64"/>
      <c r="G121" s="64"/>
      <c r="L121" s="58"/>
      <c r="N121" s="58"/>
      <c r="Q121" s="66"/>
      <c r="R121" s="16"/>
      <c r="S121" s="16"/>
      <c r="T121" s="16"/>
      <c r="U121" s="16"/>
      <c r="V121" s="16"/>
      <c r="X121" s="294" t="s">
        <v>51</v>
      </c>
      <c r="Y121" s="295" t="s">
        <v>62</v>
      </c>
      <c r="Z121" s="296" t="s">
        <v>28</v>
      </c>
      <c r="AA121" s="296">
        <v>13</v>
      </c>
      <c r="AB121" s="350" t="s">
        <v>380</v>
      </c>
      <c r="AC121" s="314" t="s">
        <v>64</v>
      </c>
      <c r="AD121" s="459">
        <f>704+290-0.7</f>
        <v>993.3</v>
      </c>
      <c r="AE121" s="428">
        <v>704</v>
      </c>
      <c r="AF121" s="438">
        <v>704</v>
      </c>
      <c r="AG121" s="19"/>
      <c r="AH121" s="19"/>
      <c r="AI121" s="113"/>
    </row>
    <row r="122" spans="1:35" x14ac:dyDescent="0.25">
      <c r="A122" s="72"/>
      <c r="B122" s="63"/>
      <c r="C122" s="64"/>
      <c r="D122" s="64"/>
      <c r="E122" s="12"/>
      <c r="F122" s="64"/>
      <c r="G122" s="64"/>
      <c r="L122" s="58"/>
      <c r="N122" s="58"/>
      <c r="Q122" s="66"/>
      <c r="R122" s="16"/>
      <c r="S122" s="16"/>
      <c r="T122" s="16"/>
      <c r="U122" s="16"/>
      <c r="V122" s="16"/>
      <c r="X122" s="294" t="s">
        <v>41</v>
      </c>
      <c r="Y122" s="295" t="s">
        <v>62</v>
      </c>
      <c r="Z122" s="296" t="s">
        <v>28</v>
      </c>
      <c r="AA122" s="296">
        <v>13</v>
      </c>
      <c r="AB122" s="350" t="s">
        <v>380</v>
      </c>
      <c r="AC122" s="314" t="s">
        <v>342</v>
      </c>
      <c r="AD122" s="459">
        <f>AD123</f>
        <v>0.7</v>
      </c>
      <c r="AE122" s="459">
        <f>AE123</f>
        <v>0</v>
      </c>
      <c r="AF122" s="459">
        <f>AF123</f>
        <v>0</v>
      </c>
      <c r="AG122" s="19"/>
      <c r="AH122" s="19"/>
      <c r="AI122" s="113"/>
    </row>
    <row r="123" spans="1:35" x14ac:dyDescent="0.25">
      <c r="A123" s="72"/>
      <c r="B123" s="63"/>
      <c r="C123" s="64"/>
      <c r="D123" s="64"/>
      <c r="E123" s="12"/>
      <c r="F123" s="64"/>
      <c r="G123" s="64"/>
      <c r="L123" s="58"/>
      <c r="N123" s="58"/>
      <c r="Q123" s="66"/>
      <c r="R123" s="16"/>
      <c r="S123" s="16"/>
      <c r="T123" s="16"/>
      <c r="U123" s="16"/>
      <c r="V123" s="16"/>
      <c r="X123" s="294" t="s">
        <v>56</v>
      </c>
      <c r="Y123" s="295" t="s">
        <v>62</v>
      </c>
      <c r="Z123" s="296" t="s">
        <v>28</v>
      </c>
      <c r="AA123" s="296">
        <v>13</v>
      </c>
      <c r="AB123" s="350" t="s">
        <v>380</v>
      </c>
      <c r="AC123" s="314" t="s">
        <v>805</v>
      </c>
      <c r="AD123" s="459">
        <v>0.7</v>
      </c>
      <c r="AE123" s="428">
        <v>0</v>
      </c>
      <c r="AF123" s="438">
        <v>0</v>
      </c>
      <c r="AG123" s="19"/>
      <c r="AH123" s="19"/>
      <c r="AI123" s="113"/>
    </row>
    <row r="124" spans="1:35" ht="31.5" x14ac:dyDescent="0.25">
      <c r="A124" s="72"/>
      <c r="B124" s="63"/>
      <c r="C124" s="64"/>
      <c r="D124" s="64"/>
      <c r="E124" s="12"/>
      <c r="F124" s="64"/>
      <c r="G124" s="64"/>
      <c r="L124" s="58"/>
      <c r="N124" s="58"/>
      <c r="Q124" s="66"/>
      <c r="R124" s="16"/>
      <c r="S124" s="16"/>
      <c r="T124" s="16"/>
      <c r="U124" s="16"/>
      <c r="V124" s="16"/>
      <c r="X124" s="294" t="s">
        <v>529</v>
      </c>
      <c r="Y124" s="295" t="s">
        <v>62</v>
      </c>
      <c r="Z124" s="296" t="s">
        <v>28</v>
      </c>
      <c r="AA124" s="296">
        <v>13</v>
      </c>
      <c r="AB124" s="350" t="s">
        <v>530</v>
      </c>
      <c r="AC124" s="297"/>
      <c r="AD124" s="459">
        <f t="shared" ref="AD124:AF126" si="20">AD125</f>
        <v>77.400000000000006</v>
      </c>
      <c r="AE124" s="428">
        <f t="shared" si="20"/>
        <v>82.9</v>
      </c>
      <c r="AF124" s="438">
        <f t="shared" si="20"/>
        <v>84.9</v>
      </c>
      <c r="AG124" s="19"/>
      <c r="AH124" s="19"/>
      <c r="AI124" s="113"/>
    </row>
    <row r="125" spans="1:35" ht="78.75" x14ac:dyDescent="0.25">
      <c r="A125" s="72"/>
      <c r="B125" s="63"/>
      <c r="C125" s="64"/>
      <c r="D125" s="64"/>
      <c r="E125" s="12"/>
      <c r="F125" s="64"/>
      <c r="G125" s="64"/>
      <c r="L125" s="58"/>
      <c r="N125" s="58"/>
      <c r="Q125" s="66"/>
      <c r="R125" s="16"/>
      <c r="S125" s="16"/>
      <c r="T125" s="16"/>
      <c r="U125" s="16"/>
      <c r="V125" s="16"/>
      <c r="X125" s="294" t="s">
        <v>401</v>
      </c>
      <c r="Y125" s="295" t="s">
        <v>62</v>
      </c>
      <c r="Z125" s="296" t="s">
        <v>28</v>
      </c>
      <c r="AA125" s="296">
        <v>13</v>
      </c>
      <c r="AB125" s="348" t="s">
        <v>531</v>
      </c>
      <c r="AC125" s="297"/>
      <c r="AD125" s="459">
        <f t="shared" si="20"/>
        <v>77.400000000000006</v>
      </c>
      <c r="AE125" s="428">
        <f t="shared" si="20"/>
        <v>82.9</v>
      </c>
      <c r="AF125" s="438">
        <f t="shared" si="20"/>
        <v>84.9</v>
      </c>
      <c r="AG125" s="19"/>
      <c r="AH125" s="19"/>
      <c r="AI125" s="113"/>
    </row>
    <row r="126" spans="1:35" x14ac:dyDescent="0.25">
      <c r="A126" s="72"/>
      <c r="B126" s="63"/>
      <c r="C126" s="64"/>
      <c r="D126" s="64"/>
      <c r="E126" s="12"/>
      <c r="F126" s="64"/>
      <c r="G126" s="64"/>
      <c r="L126" s="58"/>
      <c r="N126" s="58"/>
      <c r="Q126" s="66"/>
      <c r="R126" s="16"/>
      <c r="S126" s="16"/>
      <c r="T126" s="16"/>
      <c r="U126" s="16"/>
      <c r="V126" s="16"/>
      <c r="X126" s="294" t="s">
        <v>118</v>
      </c>
      <c r="Y126" s="295" t="s">
        <v>62</v>
      </c>
      <c r="Z126" s="296" t="s">
        <v>28</v>
      </c>
      <c r="AA126" s="296">
        <v>13</v>
      </c>
      <c r="AB126" s="348" t="s">
        <v>531</v>
      </c>
      <c r="AC126" s="297">
        <v>200</v>
      </c>
      <c r="AD126" s="459">
        <f t="shared" si="20"/>
        <v>77.400000000000006</v>
      </c>
      <c r="AE126" s="428">
        <f t="shared" si="20"/>
        <v>82.9</v>
      </c>
      <c r="AF126" s="438">
        <f t="shared" si="20"/>
        <v>84.9</v>
      </c>
      <c r="AG126" s="19"/>
      <c r="AH126" s="19"/>
      <c r="AI126" s="113"/>
    </row>
    <row r="127" spans="1:35" ht="31.5" x14ac:dyDescent="0.25">
      <c r="A127" s="72"/>
      <c r="B127" s="63"/>
      <c r="C127" s="64"/>
      <c r="D127" s="64"/>
      <c r="E127" s="12"/>
      <c r="F127" s="64"/>
      <c r="G127" s="64"/>
      <c r="L127" s="58"/>
      <c r="N127" s="58"/>
      <c r="Q127" s="66"/>
      <c r="R127" s="16"/>
      <c r="S127" s="16"/>
      <c r="T127" s="16"/>
      <c r="U127" s="16"/>
      <c r="V127" s="16"/>
      <c r="X127" s="294" t="s">
        <v>51</v>
      </c>
      <c r="Y127" s="295" t="s">
        <v>62</v>
      </c>
      <c r="Z127" s="296" t="s">
        <v>28</v>
      </c>
      <c r="AA127" s="296">
        <v>13</v>
      </c>
      <c r="AB127" s="348" t="s">
        <v>531</v>
      </c>
      <c r="AC127" s="297">
        <v>240</v>
      </c>
      <c r="AD127" s="459">
        <f>45.2+36+3+3+13-22.8</f>
        <v>77.400000000000006</v>
      </c>
      <c r="AE127" s="428">
        <f>46.9+36</f>
        <v>82.9</v>
      </c>
      <c r="AF127" s="438">
        <f>48.9+36</f>
        <v>84.9</v>
      </c>
      <c r="AG127" s="19"/>
      <c r="AH127" s="19"/>
      <c r="AI127" s="113"/>
    </row>
    <row r="128" spans="1:35" ht="31.5" x14ac:dyDescent="0.25">
      <c r="A128" s="70"/>
      <c r="B128" s="63"/>
      <c r="C128" s="64"/>
      <c r="D128" s="64"/>
      <c r="E128" s="12"/>
      <c r="F128" s="64"/>
      <c r="G128" s="65"/>
      <c r="H128" s="3"/>
      <c r="L128" s="58"/>
      <c r="N128" s="58"/>
      <c r="P128" s="65"/>
      <c r="Q128" s="66"/>
      <c r="R128" s="16"/>
      <c r="S128" s="16"/>
      <c r="T128" s="16"/>
      <c r="U128" s="16"/>
      <c r="V128" s="16"/>
      <c r="X128" s="301" t="s">
        <v>296</v>
      </c>
      <c r="Y128" s="295" t="s">
        <v>62</v>
      </c>
      <c r="Z128" s="296" t="s">
        <v>28</v>
      </c>
      <c r="AA128" s="296">
        <v>13</v>
      </c>
      <c r="AB128" s="348" t="s">
        <v>130</v>
      </c>
      <c r="AC128" s="297"/>
      <c r="AD128" s="459">
        <f t="shared" ref="AD128:AF129" si="21">AD129</f>
        <v>0.6</v>
      </c>
      <c r="AE128" s="428">
        <f t="shared" si="21"/>
        <v>922</v>
      </c>
      <c r="AF128" s="438">
        <f t="shared" si="21"/>
        <v>20.2</v>
      </c>
      <c r="AG128" s="19"/>
      <c r="AH128" s="19"/>
      <c r="AI128" s="113"/>
    </row>
    <row r="129" spans="1:35" x14ac:dyDescent="0.25">
      <c r="A129" s="70"/>
      <c r="B129" s="63"/>
      <c r="C129" s="64"/>
      <c r="D129" s="64"/>
      <c r="E129" s="12"/>
      <c r="F129" s="64"/>
      <c r="G129" s="65"/>
      <c r="H129" s="3"/>
      <c r="L129" s="58"/>
      <c r="N129" s="58"/>
      <c r="P129" s="65"/>
      <c r="Q129" s="66"/>
      <c r="R129" s="16"/>
      <c r="S129" s="16"/>
      <c r="T129" s="16"/>
      <c r="U129" s="16"/>
      <c r="V129" s="16"/>
      <c r="X129" s="301" t="s">
        <v>47</v>
      </c>
      <c r="Y129" s="295" t="s">
        <v>62</v>
      </c>
      <c r="Z129" s="296" t="s">
        <v>28</v>
      </c>
      <c r="AA129" s="296">
        <v>13</v>
      </c>
      <c r="AB129" s="348" t="s">
        <v>439</v>
      </c>
      <c r="AC129" s="297"/>
      <c r="AD129" s="459">
        <f t="shared" si="21"/>
        <v>0.6</v>
      </c>
      <c r="AE129" s="428">
        <f t="shared" si="21"/>
        <v>922</v>
      </c>
      <c r="AF129" s="438">
        <f t="shared" si="21"/>
        <v>20.2</v>
      </c>
      <c r="AG129" s="19"/>
      <c r="AH129" s="19"/>
      <c r="AI129" s="113"/>
    </row>
    <row r="130" spans="1:35" ht="31.5" x14ac:dyDescent="0.25">
      <c r="A130" s="70"/>
      <c r="B130" s="63"/>
      <c r="C130" s="64"/>
      <c r="D130" s="64"/>
      <c r="E130" s="12"/>
      <c r="F130" s="64"/>
      <c r="G130" s="65"/>
      <c r="H130" s="3"/>
      <c r="L130" s="58"/>
      <c r="N130" s="58"/>
      <c r="P130" s="65"/>
      <c r="Q130" s="66"/>
      <c r="R130" s="16"/>
      <c r="S130" s="16"/>
      <c r="T130" s="16"/>
      <c r="U130" s="16"/>
      <c r="V130" s="16"/>
      <c r="X130" s="452" t="s">
        <v>309</v>
      </c>
      <c r="Y130" s="295" t="s">
        <v>62</v>
      </c>
      <c r="Z130" s="296" t="s">
        <v>28</v>
      </c>
      <c r="AA130" s="296">
        <v>13</v>
      </c>
      <c r="AB130" s="348" t="s">
        <v>448</v>
      </c>
      <c r="AC130" s="297"/>
      <c r="AD130" s="459">
        <f t="shared" ref="AD130:AF132" si="22">AD131</f>
        <v>0.6</v>
      </c>
      <c r="AE130" s="428">
        <f t="shared" si="22"/>
        <v>922</v>
      </c>
      <c r="AF130" s="438">
        <f t="shared" si="22"/>
        <v>20.2</v>
      </c>
      <c r="AG130" s="19"/>
      <c r="AH130" s="19"/>
      <c r="AI130" s="113"/>
    </row>
    <row r="131" spans="1:35" ht="31.5" x14ac:dyDescent="0.25">
      <c r="A131" s="70"/>
      <c r="B131" s="63"/>
      <c r="C131" s="64"/>
      <c r="D131" s="64"/>
      <c r="E131" s="12"/>
      <c r="F131" s="64"/>
      <c r="G131" s="65"/>
      <c r="H131" s="3"/>
      <c r="L131" s="58"/>
      <c r="N131" s="58"/>
      <c r="P131" s="65"/>
      <c r="Q131" s="66"/>
      <c r="R131" s="16"/>
      <c r="S131" s="16"/>
      <c r="T131" s="16"/>
      <c r="U131" s="16"/>
      <c r="V131" s="16"/>
      <c r="X131" s="448" t="s">
        <v>450</v>
      </c>
      <c r="Y131" s="295" t="s">
        <v>62</v>
      </c>
      <c r="Z131" s="296" t="s">
        <v>28</v>
      </c>
      <c r="AA131" s="296">
        <v>13</v>
      </c>
      <c r="AB131" s="348" t="s">
        <v>449</v>
      </c>
      <c r="AC131" s="297"/>
      <c r="AD131" s="459">
        <f t="shared" si="22"/>
        <v>0.6</v>
      </c>
      <c r="AE131" s="428">
        <f t="shared" si="22"/>
        <v>922</v>
      </c>
      <c r="AF131" s="438">
        <f t="shared" si="22"/>
        <v>20.2</v>
      </c>
      <c r="AG131" s="19"/>
      <c r="AH131" s="19"/>
      <c r="AI131" s="113"/>
    </row>
    <row r="132" spans="1:35" x14ac:dyDescent="0.25">
      <c r="A132" s="70"/>
      <c r="B132" s="63"/>
      <c r="C132" s="64"/>
      <c r="D132" s="64"/>
      <c r="E132" s="12"/>
      <c r="F132" s="64"/>
      <c r="G132" s="65"/>
      <c r="H132" s="3"/>
      <c r="L132" s="58"/>
      <c r="N132" s="58"/>
      <c r="P132" s="65"/>
      <c r="Q132" s="66"/>
      <c r="R132" s="16"/>
      <c r="S132" s="16"/>
      <c r="T132" s="16"/>
      <c r="U132" s="16"/>
      <c r="V132" s="16"/>
      <c r="X132" s="294" t="s">
        <v>118</v>
      </c>
      <c r="Y132" s="295" t="s">
        <v>62</v>
      </c>
      <c r="Z132" s="296" t="s">
        <v>28</v>
      </c>
      <c r="AA132" s="296">
        <v>13</v>
      </c>
      <c r="AB132" s="348" t="s">
        <v>449</v>
      </c>
      <c r="AC132" s="297">
        <v>200</v>
      </c>
      <c r="AD132" s="459">
        <f t="shared" si="22"/>
        <v>0.6</v>
      </c>
      <c r="AE132" s="428">
        <f t="shared" si="22"/>
        <v>922</v>
      </c>
      <c r="AF132" s="438">
        <f t="shared" si="22"/>
        <v>20.2</v>
      </c>
      <c r="AG132" s="19"/>
      <c r="AH132" s="19"/>
      <c r="AI132" s="113"/>
    </row>
    <row r="133" spans="1:35" ht="31.5" x14ac:dyDescent="0.25">
      <c r="A133" s="70"/>
      <c r="B133" s="63"/>
      <c r="C133" s="64"/>
      <c r="D133" s="64"/>
      <c r="E133" s="12"/>
      <c r="F133" s="64"/>
      <c r="G133" s="65"/>
      <c r="H133" s="3"/>
      <c r="L133" s="58"/>
      <c r="N133" s="58"/>
      <c r="P133" s="65"/>
      <c r="Q133" s="66"/>
      <c r="R133" s="16"/>
      <c r="S133" s="16"/>
      <c r="T133" s="16"/>
      <c r="U133" s="16"/>
      <c r="V133" s="16"/>
      <c r="X133" s="294" t="s">
        <v>51</v>
      </c>
      <c r="Y133" s="295" t="s">
        <v>62</v>
      </c>
      <c r="Z133" s="296" t="s">
        <v>28</v>
      </c>
      <c r="AA133" s="296">
        <v>13</v>
      </c>
      <c r="AB133" s="348" t="s">
        <v>449</v>
      </c>
      <c r="AC133" s="297">
        <v>240</v>
      </c>
      <c r="AD133" s="459">
        <v>0.6</v>
      </c>
      <c r="AE133" s="428">
        <v>922</v>
      </c>
      <c r="AF133" s="438">
        <v>20.2</v>
      </c>
      <c r="AG133" s="19"/>
      <c r="AH133" s="19"/>
      <c r="AI133" s="113"/>
    </row>
    <row r="134" spans="1:35" x14ac:dyDescent="0.25">
      <c r="A134" s="70"/>
      <c r="B134" s="63"/>
      <c r="C134" s="64"/>
      <c r="D134" s="64"/>
      <c r="E134" s="12"/>
      <c r="F134" s="64"/>
      <c r="G134" s="65"/>
      <c r="H134" s="3"/>
      <c r="L134" s="58"/>
      <c r="N134" s="58"/>
      <c r="P134" s="65"/>
      <c r="Q134" s="66"/>
      <c r="R134" s="16"/>
      <c r="S134" s="16"/>
      <c r="T134" s="16"/>
      <c r="U134" s="16"/>
      <c r="V134" s="16"/>
      <c r="X134" s="299" t="s">
        <v>231</v>
      </c>
      <c r="Y134" s="295" t="s">
        <v>62</v>
      </c>
      <c r="Z134" s="296" t="s">
        <v>28</v>
      </c>
      <c r="AA134" s="296">
        <v>13</v>
      </c>
      <c r="AB134" s="348" t="s">
        <v>232</v>
      </c>
      <c r="AC134" s="297"/>
      <c r="AD134" s="459">
        <f>AD135</f>
        <v>57349</v>
      </c>
      <c r="AE134" s="428">
        <f>AE135</f>
        <v>52633</v>
      </c>
      <c r="AF134" s="438">
        <f>AF135</f>
        <v>53039</v>
      </c>
      <c r="AG134" s="19"/>
      <c r="AH134" s="19"/>
      <c r="AI134" s="113"/>
    </row>
    <row r="135" spans="1:35" x14ac:dyDescent="0.25">
      <c r="A135" s="70"/>
      <c r="B135" s="63"/>
      <c r="C135" s="64"/>
      <c r="D135" s="64"/>
      <c r="E135" s="12"/>
      <c r="F135" s="64"/>
      <c r="G135" s="65"/>
      <c r="H135" s="3"/>
      <c r="L135" s="58"/>
      <c r="N135" s="58"/>
      <c r="P135" s="65"/>
      <c r="Q135" s="66"/>
      <c r="R135" s="16"/>
      <c r="S135" s="16"/>
      <c r="T135" s="16"/>
      <c r="U135" s="16"/>
      <c r="V135" s="16"/>
      <c r="X135" s="294" t="s">
        <v>47</v>
      </c>
      <c r="Y135" s="295" t="s">
        <v>62</v>
      </c>
      <c r="Z135" s="296" t="s">
        <v>28</v>
      </c>
      <c r="AA135" s="296">
        <v>13</v>
      </c>
      <c r="AB135" s="348" t="s">
        <v>532</v>
      </c>
      <c r="AC135" s="297"/>
      <c r="AD135" s="459">
        <f>AD136</f>
        <v>57349</v>
      </c>
      <c r="AE135" s="428">
        <f t="shared" ref="AE135:AF138" si="23">AE136</f>
        <v>52633</v>
      </c>
      <c r="AF135" s="438">
        <f t="shared" si="23"/>
        <v>53039</v>
      </c>
      <c r="AG135" s="19"/>
      <c r="AH135" s="19"/>
      <c r="AI135" s="113"/>
    </row>
    <row r="136" spans="1:35" ht="31.5" x14ac:dyDescent="0.25">
      <c r="A136" s="70"/>
      <c r="B136" s="63"/>
      <c r="C136" s="64"/>
      <c r="D136" s="64"/>
      <c r="E136" s="12"/>
      <c r="F136" s="64"/>
      <c r="G136" s="65"/>
      <c r="H136" s="3"/>
      <c r="L136" s="58"/>
      <c r="N136" s="58"/>
      <c r="P136" s="65"/>
      <c r="Q136" s="66"/>
      <c r="R136" s="16"/>
      <c r="S136" s="16"/>
      <c r="T136" s="16"/>
      <c r="U136" s="16"/>
      <c r="V136" s="16"/>
      <c r="X136" s="294" t="s">
        <v>323</v>
      </c>
      <c r="Y136" s="295" t="s">
        <v>62</v>
      </c>
      <c r="Z136" s="296" t="s">
        <v>28</v>
      </c>
      <c r="AA136" s="296">
        <v>13</v>
      </c>
      <c r="AB136" s="348" t="s">
        <v>533</v>
      </c>
      <c r="AC136" s="297"/>
      <c r="AD136" s="459">
        <f>AD137</f>
        <v>57349</v>
      </c>
      <c r="AE136" s="428">
        <f t="shared" si="23"/>
        <v>52633</v>
      </c>
      <c r="AF136" s="438">
        <f t="shared" si="23"/>
        <v>53039</v>
      </c>
      <c r="AG136" s="19"/>
      <c r="AH136" s="19"/>
      <c r="AI136" s="113"/>
    </row>
    <row r="137" spans="1:35" ht="31.5" x14ac:dyDescent="0.25">
      <c r="A137" s="70"/>
      <c r="B137" s="63"/>
      <c r="C137" s="64"/>
      <c r="D137" s="64"/>
      <c r="E137" s="12"/>
      <c r="F137" s="64"/>
      <c r="G137" s="65"/>
      <c r="H137" s="3"/>
      <c r="L137" s="58"/>
      <c r="N137" s="58"/>
      <c r="P137" s="65"/>
      <c r="Q137" s="66"/>
      <c r="R137" s="16"/>
      <c r="S137" s="16"/>
      <c r="T137" s="16"/>
      <c r="U137" s="16"/>
      <c r="V137" s="16"/>
      <c r="X137" s="294" t="s">
        <v>233</v>
      </c>
      <c r="Y137" s="295" t="s">
        <v>62</v>
      </c>
      <c r="Z137" s="296" t="s">
        <v>28</v>
      </c>
      <c r="AA137" s="296">
        <v>13</v>
      </c>
      <c r="AB137" s="348" t="s">
        <v>534</v>
      </c>
      <c r="AC137" s="297"/>
      <c r="AD137" s="459">
        <f>AD138</f>
        <v>57349</v>
      </c>
      <c r="AE137" s="428">
        <f t="shared" si="23"/>
        <v>52633</v>
      </c>
      <c r="AF137" s="438">
        <f t="shared" si="23"/>
        <v>53039</v>
      </c>
      <c r="AG137" s="19"/>
      <c r="AH137" s="19"/>
      <c r="AI137" s="113"/>
    </row>
    <row r="138" spans="1:35" ht="31.5" x14ac:dyDescent="0.25">
      <c r="A138" s="70"/>
      <c r="B138" s="63"/>
      <c r="C138" s="64"/>
      <c r="D138" s="64"/>
      <c r="E138" s="12"/>
      <c r="F138" s="64"/>
      <c r="G138" s="65"/>
      <c r="H138" s="3"/>
      <c r="L138" s="58"/>
      <c r="N138" s="58"/>
      <c r="P138" s="65"/>
      <c r="Q138" s="66"/>
      <c r="R138" s="16"/>
      <c r="S138" s="16"/>
      <c r="T138" s="16"/>
      <c r="U138" s="16"/>
      <c r="V138" s="16"/>
      <c r="X138" s="294" t="s">
        <v>59</v>
      </c>
      <c r="Y138" s="295" t="s">
        <v>62</v>
      </c>
      <c r="Z138" s="296" t="s">
        <v>28</v>
      </c>
      <c r="AA138" s="296">
        <v>13</v>
      </c>
      <c r="AB138" s="348" t="s">
        <v>534</v>
      </c>
      <c r="AC138" s="297">
        <v>600</v>
      </c>
      <c r="AD138" s="459">
        <f>AD139</f>
        <v>57349</v>
      </c>
      <c r="AE138" s="428">
        <f t="shared" si="23"/>
        <v>52633</v>
      </c>
      <c r="AF138" s="438">
        <f t="shared" si="23"/>
        <v>53039</v>
      </c>
      <c r="AG138" s="19"/>
      <c r="AH138" s="19"/>
      <c r="AI138" s="113"/>
    </row>
    <row r="139" spans="1:35" x14ac:dyDescent="0.25">
      <c r="A139" s="70"/>
      <c r="B139" s="63"/>
      <c r="C139" s="64"/>
      <c r="D139" s="64"/>
      <c r="E139" s="12"/>
      <c r="F139" s="64"/>
      <c r="G139" s="65"/>
      <c r="H139" s="3"/>
      <c r="L139" s="58"/>
      <c r="N139" s="58"/>
      <c r="P139" s="65"/>
      <c r="Q139" s="66"/>
      <c r="R139" s="16"/>
      <c r="S139" s="16"/>
      <c r="T139" s="16"/>
      <c r="U139" s="16"/>
      <c r="V139" s="16"/>
      <c r="X139" s="294" t="s">
        <v>60</v>
      </c>
      <c r="Y139" s="295" t="s">
        <v>62</v>
      </c>
      <c r="Z139" s="296" t="s">
        <v>28</v>
      </c>
      <c r="AA139" s="296">
        <v>13</v>
      </c>
      <c r="AB139" s="348" t="s">
        <v>534</v>
      </c>
      <c r="AC139" s="297">
        <v>610</v>
      </c>
      <c r="AD139" s="459">
        <f>51719+1320+4310</f>
        <v>57349</v>
      </c>
      <c r="AE139" s="428">
        <f>51719+914</f>
        <v>52633</v>
      </c>
      <c r="AF139" s="438">
        <f>51719+1320</f>
        <v>53039</v>
      </c>
      <c r="AG139" s="19"/>
      <c r="AH139" s="19"/>
      <c r="AI139" s="113"/>
    </row>
    <row r="140" spans="1:35" x14ac:dyDescent="0.25">
      <c r="A140" s="70"/>
      <c r="B140" s="63"/>
      <c r="C140" s="64"/>
      <c r="D140" s="64"/>
      <c r="E140" s="12"/>
      <c r="F140" s="64"/>
      <c r="G140" s="65"/>
      <c r="H140" s="3"/>
      <c r="L140" s="58"/>
      <c r="N140" s="58"/>
      <c r="P140" s="65"/>
      <c r="Q140" s="66"/>
      <c r="R140" s="16"/>
      <c r="S140" s="16"/>
      <c r="T140" s="16"/>
      <c r="U140" s="16"/>
      <c r="V140" s="16"/>
      <c r="X140" s="299" t="s">
        <v>223</v>
      </c>
      <c r="Y140" s="295" t="s">
        <v>62</v>
      </c>
      <c r="Z140" s="296" t="s">
        <v>28</v>
      </c>
      <c r="AA140" s="296">
        <v>13</v>
      </c>
      <c r="AB140" s="348" t="s">
        <v>135</v>
      </c>
      <c r="AC140" s="314"/>
      <c r="AD140" s="459">
        <f>AD144+AD141</f>
        <v>278.5</v>
      </c>
      <c r="AE140" s="459">
        <f>AE144+AE141</f>
        <v>0</v>
      </c>
      <c r="AF140" s="459">
        <f>AF144+AF141</f>
        <v>0</v>
      </c>
      <c r="AG140" s="19"/>
      <c r="AH140" s="19"/>
      <c r="AI140" s="113"/>
    </row>
    <row r="141" spans="1:35" x14ac:dyDescent="0.25">
      <c r="A141" s="70"/>
      <c r="B141" s="63"/>
      <c r="C141" s="64"/>
      <c r="D141" s="64"/>
      <c r="E141" s="12"/>
      <c r="F141" s="64"/>
      <c r="G141" s="65"/>
      <c r="H141" s="3"/>
      <c r="L141" s="58"/>
      <c r="N141" s="58"/>
      <c r="P141" s="65"/>
      <c r="Q141" s="66"/>
      <c r="R141" s="16"/>
      <c r="S141" s="16"/>
      <c r="T141" s="16"/>
      <c r="U141" s="16"/>
      <c r="V141" s="16"/>
      <c r="X141" s="294" t="s">
        <v>778</v>
      </c>
      <c r="Y141" s="295" t="s">
        <v>62</v>
      </c>
      <c r="Z141" s="296" t="s">
        <v>28</v>
      </c>
      <c r="AA141" s="296">
        <v>13</v>
      </c>
      <c r="AB141" s="348" t="s">
        <v>779</v>
      </c>
      <c r="AC141" s="297"/>
      <c r="AD141" s="459">
        <f t="shared" ref="AD141:AF142" si="24">AD142</f>
        <v>128.5</v>
      </c>
      <c r="AE141" s="459">
        <f t="shared" si="24"/>
        <v>0</v>
      </c>
      <c r="AF141" s="459">
        <f t="shared" si="24"/>
        <v>0</v>
      </c>
      <c r="AG141" s="19"/>
      <c r="AH141" s="19"/>
      <c r="AI141" s="113"/>
    </row>
    <row r="142" spans="1:35" x14ac:dyDescent="0.25">
      <c r="A142" s="70"/>
      <c r="B142" s="63"/>
      <c r="C142" s="64"/>
      <c r="D142" s="64"/>
      <c r="E142" s="12"/>
      <c r="F142" s="64"/>
      <c r="G142" s="65"/>
      <c r="H142" s="3"/>
      <c r="L142" s="58"/>
      <c r="N142" s="58"/>
      <c r="P142" s="65"/>
      <c r="Q142" s="66"/>
      <c r="R142" s="16"/>
      <c r="S142" s="16"/>
      <c r="T142" s="16"/>
      <c r="U142" s="16"/>
      <c r="V142" s="16"/>
      <c r="X142" s="294" t="s">
        <v>41</v>
      </c>
      <c r="Y142" s="295" t="s">
        <v>62</v>
      </c>
      <c r="Z142" s="296" t="s">
        <v>28</v>
      </c>
      <c r="AA142" s="296">
        <v>13</v>
      </c>
      <c r="AB142" s="348" t="s">
        <v>779</v>
      </c>
      <c r="AC142" s="297">
        <v>800</v>
      </c>
      <c r="AD142" s="459">
        <f t="shared" si="24"/>
        <v>128.5</v>
      </c>
      <c r="AE142" s="459">
        <f t="shared" si="24"/>
        <v>0</v>
      </c>
      <c r="AF142" s="459">
        <f t="shared" si="24"/>
        <v>0</v>
      </c>
      <c r="AG142" s="19"/>
      <c r="AH142" s="19"/>
      <c r="AI142" s="113"/>
    </row>
    <row r="143" spans="1:35" x14ac:dyDescent="0.25">
      <c r="A143" s="70"/>
      <c r="B143" s="63"/>
      <c r="C143" s="64"/>
      <c r="D143" s="64"/>
      <c r="E143" s="12"/>
      <c r="F143" s="64"/>
      <c r="G143" s="65"/>
      <c r="H143" s="3"/>
      <c r="L143" s="58"/>
      <c r="N143" s="58"/>
      <c r="P143" s="65"/>
      <c r="Q143" s="66"/>
      <c r="R143" s="16"/>
      <c r="S143" s="16"/>
      <c r="T143" s="16"/>
      <c r="U143" s="16"/>
      <c r="V143" s="16"/>
      <c r="X143" s="294" t="s">
        <v>780</v>
      </c>
      <c r="Y143" s="295" t="s">
        <v>62</v>
      </c>
      <c r="Z143" s="296" t="s">
        <v>28</v>
      </c>
      <c r="AA143" s="296">
        <v>13</v>
      </c>
      <c r="AB143" s="348" t="s">
        <v>779</v>
      </c>
      <c r="AC143" s="297">
        <v>830</v>
      </c>
      <c r="AD143" s="459">
        <f>77+51.5</f>
        <v>128.5</v>
      </c>
      <c r="AE143" s="459">
        <v>0</v>
      </c>
      <c r="AF143" s="489">
        <v>0</v>
      </c>
      <c r="AG143" s="19"/>
      <c r="AH143" s="19"/>
      <c r="AI143" s="113"/>
    </row>
    <row r="144" spans="1:35" x14ac:dyDescent="0.25">
      <c r="A144" s="70"/>
      <c r="B144" s="63"/>
      <c r="C144" s="64"/>
      <c r="D144" s="64"/>
      <c r="E144" s="12"/>
      <c r="F144" s="64"/>
      <c r="G144" s="65"/>
      <c r="H144" s="3"/>
      <c r="L144" s="58"/>
      <c r="N144" s="58"/>
      <c r="P144" s="65"/>
      <c r="Q144" s="66"/>
      <c r="R144" s="16"/>
      <c r="S144" s="16"/>
      <c r="T144" s="16"/>
      <c r="U144" s="16"/>
      <c r="V144" s="16"/>
      <c r="X144" s="294" t="s">
        <v>422</v>
      </c>
      <c r="Y144" s="295" t="s">
        <v>62</v>
      </c>
      <c r="Z144" s="310" t="s">
        <v>28</v>
      </c>
      <c r="AA144" s="310">
        <v>13</v>
      </c>
      <c r="AB144" s="352" t="s">
        <v>423</v>
      </c>
      <c r="AC144" s="311"/>
      <c r="AD144" s="459">
        <f>AD145</f>
        <v>150</v>
      </c>
      <c r="AE144" s="459">
        <f>AE145</f>
        <v>0</v>
      </c>
      <c r="AF144" s="459">
        <f>AF145</f>
        <v>0</v>
      </c>
      <c r="AG144" s="19"/>
      <c r="AH144" s="19"/>
      <c r="AI144" s="113"/>
    </row>
    <row r="145" spans="1:35" s="483" customFormat="1" x14ac:dyDescent="0.25">
      <c r="A145" s="70"/>
      <c r="B145" s="63"/>
      <c r="C145" s="64"/>
      <c r="D145" s="64"/>
      <c r="E145" s="12"/>
      <c r="F145" s="64"/>
      <c r="G145" s="65"/>
      <c r="I145" s="29"/>
      <c r="J145" s="29"/>
      <c r="K145" s="29"/>
      <c r="L145" s="58"/>
      <c r="M145" s="29"/>
      <c r="N145" s="58"/>
      <c r="O145" s="30"/>
      <c r="P145" s="65"/>
      <c r="Q145" s="66"/>
      <c r="R145" s="16"/>
      <c r="S145" s="16"/>
      <c r="T145" s="16"/>
      <c r="U145" s="16"/>
      <c r="V145" s="16"/>
      <c r="X145" s="294" t="s">
        <v>781</v>
      </c>
      <c r="Y145" s="308" t="s">
        <v>62</v>
      </c>
      <c r="Z145" s="310" t="s">
        <v>28</v>
      </c>
      <c r="AA145" s="311">
        <v>13</v>
      </c>
      <c r="AB145" s="484" t="s">
        <v>782</v>
      </c>
      <c r="AC145" s="485"/>
      <c r="AD145" s="482">
        <f t="shared" ref="AD145:AF146" si="25">AD146</f>
        <v>150</v>
      </c>
      <c r="AE145" s="482">
        <f t="shared" si="25"/>
        <v>0</v>
      </c>
      <c r="AF145" s="482">
        <f t="shared" si="25"/>
        <v>0</v>
      </c>
      <c r="AG145" s="19"/>
      <c r="AH145" s="19"/>
      <c r="AI145" s="113"/>
    </row>
    <row r="146" spans="1:35" s="483" customFormat="1" x14ac:dyDescent="0.25">
      <c r="A146" s="70"/>
      <c r="B146" s="63"/>
      <c r="C146" s="64"/>
      <c r="D146" s="64"/>
      <c r="E146" s="12"/>
      <c r="F146" s="64"/>
      <c r="G146" s="65"/>
      <c r="I146" s="29"/>
      <c r="J146" s="29"/>
      <c r="K146" s="29"/>
      <c r="L146" s="58"/>
      <c r="M146" s="29"/>
      <c r="N146" s="58"/>
      <c r="O146" s="30"/>
      <c r="P146" s="65"/>
      <c r="Q146" s="66"/>
      <c r="R146" s="16"/>
      <c r="S146" s="16"/>
      <c r="T146" s="16"/>
      <c r="U146" s="16"/>
      <c r="V146" s="16"/>
      <c r="X146" s="294" t="s">
        <v>41</v>
      </c>
      <c r="Y146" s="308" t="s">
        <v>62</v>
      </c>
      <c r="Z146" s="310" t="s">
        <v>28</v>
      </c>
      <c r="AA146" s="311">
        <v>13</v>
      </c>
      <c r="AB146" s="484" t="s">
        <v>782</v>
      </c>
      <c r="AC146" s="485">
        <v>800</v>
      </c>
      <c r="AD146" s="482">
        <f t="shared" si="25"/>
        <v>150</v>
      </c>
      <c r="AE146" s="482">
        <f t="shared" si="25"/>
        <v>0</v>
      </c>
      <c r="AF146" s="482">
        <f t="shared" si="25"/>
        <v>0</v>
      </c>
      <c r="AG146" s="19"/>
      <c r="AH146" s="19"/>
      <c r="AI146" s="113"/>
    </row>
    <row r="147" spans="1:35" s="483" customFormat="1" x14ac:dyDescent="0.25">
      <c r="A147" s="70"/>
      <c r="B147" s="63"/>
      <c r="C147" s="64"/>
      <c r="D147" s="64"/>
      <c r="E147" s="12"/>
      <c r="F147" s="64"/>
      <c r="G147" s="65"/>
      <c r="I147" s="29"/>
      <c r="J147" s="29"/>
      <c r="K147" s="29"/>
      <c r="L147" s="58"/>
      <c r="M147" s="29"/>
      <c r="N147" s="58"/>
      <c r="O147" s="30"/>
      <c r="P147" s="65"/>
      <c r="Q147" s="66"/>
      <c r="R147" s="16"/>
      <c r="S147" s="16"/>
      <c r="T147" s="16"/>
      <c r="U147" s="16"/>
      <c r="V147" s="16"/>
      <c r="X147" s="294" t="s">
        <v>56</v>
      </c>
      <c r="Y147" s="295" t="s">
        <v>62</v>
      </c>
      <c r="Z147" s="310" t="s">
        <v>28</v>
      </c>
      <c r="AA147" s="311">
        <v>13</v>
      </c>
      <c r="AB147" s="484" t="s">
        <v>782</v>
      </c>
      <c r="AC147" s="485">
        <v>850</v>
      </c>
      <c r="AD147" s="482">
        <f>50+100</f>
        <v>150</v>
      </c>
      <c r="AE147" s="482">
        <v>0</v>
      </c>
      <c r="AF147" s="482">
        <v>0</v>
      </c>
      <c r="AG147" s="19"/>
      <c r="AH147" s="19"/>
      <c r="AI147" s="113"/>
    </row>
    <row r="148" spans="1:35" s="73" customFormat="1" x14ac:dyDescent="0.25">
      <c r="A148" s="53"/>
      <c r="B148" s="54"/>
      <c r="C148" s="56"/>
      <c r="D148" s="56"/>
      <c r="E148" s="57"/>
      <c r="F148" s="57"/>
      <c r="G148" s="58"/>
      <c r="H148" s="58"/>
      <c r="I148" s="58"/>
      <c r="J148" s="58"/>
      <c r="K148" s="58"/>
      <c r="L148" s="58"/>
      <c r="M148" s="58"/>
      <c r="N148" s="58"/>
      <c r="O148" s="58"/>
      <c r="P148" s="58"/>
      <c r="Q148" s="60"/>
      <c r="R148" s="61"/>
      <c r="S148" s="61"/>
      <c r="T148" s="61"/>
      <c r="U148" s="61"/>
      <c r="V148" s="61"/>
      <c r="W148" s="61"/>
      <c r="X148" s="445" t="s">
        <v>10</v>
      </c>
      <c r="Y148" s="291" t="s">
        <v>62</v>
      </c>
      <c r="Z148" s="312" t="s">
        <v>29</v>
      </c>
      <c r="AA148" s="312"/>
      <c r="AB148" s="345"/>
      <c r="AC148" s="317"/>
      <c r="AD148" s="458">
        <f>AD149+AD156</f>
        <v>5234.8999999999996</v>
      </c>
      <c r="AE148" s="427">
        <f>AE149+AE156</f>
        <v>5095.3</v>
      </c>
      <c r="AF148" s="437">
        <f>AF149+AF156</f>
        <v>5267.1</v>
      </c>
      <c r="AG148" s="142"/>
      <c r="AH148" s="142"/>
      <c r="AI148" s="113"/>
    </row>
    <row r="149" spans="1:35" x14ac:dyDescent="0.25">
      <c r="A149" s="74"/>
      <c r="B149" s="63"/>
      <c r="C149" s="64"/>
      <c r="D149" s="64"/>
      <c r="E149" s="12"/>
      <c r="F149" s="12"/>
      <c r="G149" s="65"/>
      <c r="H149" s="65"/>
      <c r="I149" s="65"/>
      <c r="J149" s="65"/>
      <c r="K149" s="65"/>
      <c r="L149" s="58"/>
      <c r="M149" s="65"/>
      <c r="N149" s="58"/>
      <c r="O149" s="65"/>
      <c r="P149" s="65"/>
      <c r="Q149" s="66"/>
      <c r="R149" s="16"/>
      <c r="S149" s="16"/>
      <c r="T149" s="16"/>
      <c r="U149" s="16"/>
      <c r="V149" s="16"/>
      <c r="X149" s="294" t="s">
        <v>11</v>
      </c>
      <c r="Y149" s="295" t="s">
        <v>62</v>
      </c>
      <c r="Z149" s="296" t="s">
        <v>29</v>
      </c>
      <c r="AA149" s="296" t="s">
        <v>6</v>
      </c>
      <c r="AB149" s="347"/>
      <c r="AC149" s="323"/>
      <c r="AD149" s="459">
        <f>AD150</f>
        <v>4656.3999999999996</v>
      </c>
      <c r="AE149" s="428">
        <f>AE150</f>
        <v>5021.3</v>
      </c>
      <c r="AF149" s="438">
        <f>AF150</f>
        <v>5193.1000000000004</v>
      </c>
      <c r="AG149" s="19"/>
      <c r="AH149" s="19"/>
      <c r="AI149" s="113"/>
    </row>
    <row r="150" spans="1:35" ht="31.5" x14ac:dyDescent="0.25">
      <c r="B150" s="63"/>
      <c r="C150" s="64"/>
      <c r="D150" s="64"/>
      <c r="E150" s="12"/>
      <c r="F150" s="12"/>
      <c r="G150" s="65"/>
      <c r="H150" s="65"/>
      <c r="I150" s="65"/>
      <c r="J150" s="65"/>
      <c r="K150" s="65"/>
      <c r="L150" s="58"/>
      <c r="M150" s="65"/>
      <c r="N150" s="58"/>
      <c r="O150" s="65"/>
      <c r="P150" s="65"/>
      <c r="Q150" s="66"/>
      <c r="R150" s="16"/>
      <c r="S150" s="16"/>
      <c r="T150" s="16"/>
      <c r="U150" s="16"/>
      <c r="V150" s="16"/>
      <c r="X150" s="301" t="s">
        <v>296</v>
      </c>
      <c r="Y150" s="295" t="s">
        <v>62</v>
      </c>
      <c r="Z150" s="296" t="s">
        <v>29</v>
      </c>
      <c r="AA150" s="296" t="s">
        <v>6</v>
      </c>
      <c r="AB150" s="348" t="s">
        <v>130</v>
      </c>
      <c r="AC150" s="323"/>
      <c r="AD150" s="459">
        <f t="shared" ref="AD150:AF153" si="26">AD151</f>
        <v>4656.3999999999996</v>
      </c>
      <c r="AE150" s="428">
        <f t="shared" si="26"/>
        <v>5021.3</v>
      </c>
      <c r="AF150" s="438">
        <f t="shared" si="26"/>
        <v>5193.1000000000004</v>
      </c>
      <c r="AG150" s="19"/>
      <c r="AH150" s="19"/>
      <c r="AI150" s="113"/>
    </row>
    <row r="151" spans="1:35" x14ac:dyDescent="0.25">
      <c r="B151" s="63"/>
      <c r="C151" s="64"/>
      <c r="D151" s="64"/>
      <c r="E151" s="12"/>
      <c r="F151" s="12"/>
      <c r="G151" s="65"/>
      <c r="H151" s="65"/>
      <c r="I151" s="65"/>
      <c r="J151" s="65"/>
      <c r="K151" s="65"/>
      <c r="L151" s="58"/>
      <c r="M151" s="65"/>
      <c r="N151" s="58"/>
      <c r="O151" s="65"/>
      <c r="P151" s="65"/>
      <c r="Q151" s="66"/>
      <c r="R151" s="16"/>
      <c r="S151" s="16"/>
      <c r="T151" s="16"/>
      <c r="U151" s="16"/>
      <c r="V151" s="16"/>
      <c r="X151" s="301" t="s">
        <v>47</v>
      </c>
      <c r="Y151" s="295" t="s">
        <v>62</v>
      </c>
      <c r="Z151" s="296" t="s">
        <v>29</v>
      </c>
      <c r="AA151" s="296" t="s">
        <v>6</v>
      </c>
      <c r="AB151" s="348" t="s">
        <v>439</v>
      </c>
      <c r="AC151" s="323"/>
      <c r="AD151" s="459">
        <f t="shared" si="26"/>
        <v>4656.3999999999996</v>
      </c>
      <c r="AE151" s="428">
        <f t="shared" si="26"/>
        <v>5021.3</v>
      </c>
      <c r="AF151" s="438">
        <f t="shared" si="26"/>
        <v>5193.1000000000004</v>
      </c>
      <c r="AG151" s="19"/>
      <c r="AH151" s="19"/>
      <c r="AI151" s="113"/>
    </row>
    <row r="152" spans="1:35" x14ac:dyDescent="0.25">
      <c r="B152" s="63"/>
      <c r="C152" s="64"/>
      <c r="D152" s="64"/>
      <c r="E152" s="12"/>
      <c r="F152" s="12"/>
      <c r="G152" s="65"/>
      <c r="H152" s="65"/>
      <c r="I152" s="65"/>
      <c r="J152" s="65"/>
      <c r="K152" s="65"/>
      <c r="L152" s="58"/>
      <c r="M152" s="65"/>
      <c r="N152" s="58"/>
      <c r="O152" s="65"/>
      <c r="P152" s="65"/>
      <c r="Q152" s="66"/>
      <c r="R152" s="16"/>
      <c r="S152" s="16"/>
      <c r="T152" s="16"/>
      <c r="U152" s="16"/>
      <c r="V152" s="16"/>
      <c r="X152" s="449" t="s">
        <v>452</v>
      </c>
      <c r="Y152" s="295" t="s">
        <v>62</v>
      </c>
      <c r="Z152" s="296" t="s">
        <v>29</v>
      </c>
      <c r="AA152" s="296" t="s">
        <v>6</v>
      </c>
      <c r="AB152" s="348" t="s">
        <v>440</v>
      </c>
      <c r="AC152" s="323"/>
      <c r="AD152" s="459">
        <f t="shared" si="26"/>
        <v>4656.3999999999996</v>
      </c>
      <c r="AE152" s="428">
        <f t="shared" si="26"/>
        <v>5021.3</v>
      </c>
      <c r="AF152" s="438">
        <f t="shared" si="26"/>
        <v>5193.1000000000004</v>
      </c>
      <c r="AG152" s="19"/>
      <c r="AH152" s="19"/>
      <c r="AI152" s="113"/>
    </row>
    <row r="153" spans="1:35" s="73" customFormat="1" ht="31.5" x14ac:dyDescent="0.25">
      <c r="A153" s="75"/>
      <c r="B153" s="54"/>
      <c r="C153" s="56"/>
      <c r="D153" s="56"/>
      <c r="E153" s="57"/>
      <c r="F153" s="62"/>
      <c r="G153" s="58"/>
      <c r="H153" s="58"/>
      <c r="I153" s="58"/>
      <c r="J153" s="58"/>
      <c r="K153" s="58"/>
      <c r="L153" s="58"/>
      <c r="M153" s="58"/>
      <c r="N153" s="58"/>
      <c r="O153" s="59"/>
      <c r="P153" s="58"/>
      <c r="Q153" s="60"/>
      <c r="R153" s="61"/>
      <c r="S153" s="61"/>
      <c r="T153" s="61"/>
      <c r="U153" s="61"/>
      <c r="V153" s="61"/>
      <c r="W153" s="62"/>
      <c r="X153" s="301" t="s">
        <v>451</v>
      </c>
      <c r="Y153" s="295" t="s">
        <v>62</v>
      </c>
      <c r="Z153" s="296" t="s">
        <v>29</v>
      </c>
      <c r="AA153" s="296" t="s">
        <v>6</v>
      </c>
      <c r="AB153" s="348" t="s">
        <v>447</v>
      </c>
      <c r="AC153" s="371"/>
      <c r="AD153" s="459">
        <f>AD154</f>
        <v>4656.3999999999996</v>
      </c>
      <c r="AE153" s="428">
        <f t="shared" si="26"/>
        <v>5021.3</v>
      </c>
      <c r="AF153" s="438">
        <f t="shared" si="26"/>
        <v>5193.1000000000004</v>
      </c>
      <c r="AG153" s="19"/>
      <c r="AH153" s="19"/>
      <c r="AI153" s="113"/>
    </row>
    <row r="154" spans="1:35" ht="47.25" x14ac:dyDescent="0.25">
      <c r="A154" s="76"/>
      <c r="B154" s="63"/>
      <c r="C154" s="64"/>
      <c r="D154" s="64"/>
      <c r="E154" s="12"/>
      <c r="F154" s="77"/>
      <c r="G154" s="65"/>
      <c r="H154" s="65"/>
      <c r="I154" s="65"/>
      <c r="J154" s="65"/>
      <c r="K154" s="65"/>
      <c r="L154" s="58"/>
      <c r="M154" s="65"/>
      <c r="N154" s="58"/>
      <c r="O154" s="71"/>
      <c r="P154" s="65"/>
      <c r="Q154" s="66"/>
      <c r="R154" s="16"/>
      <c r="S154" s="16"/>
      <c r="T154" s="16"/>
      <c r="U154" s="16"/>
      <c r="V154" s="16"/>
      <c r="W154" s="77"/>
      <c r="X154" s="294" t="s">
        <v>40</v>
      </c>
      <c r="Y154" s="295" t="s">
        <v>62</v>
      </c>
      <c r="Z154" s="296" t="s">
        <v>29</v>
      </c>
      <c r="AA154" s="296" t="s">
        <v>6</v>
      </c>
      <c r="AB154" s="348" t="s">
        <v>447</v>
      </c>
      <c r="AC154" s="297">
        <v>100</v>
      </c>
      <c r="AD154" s="459">
        <f>AD155</f>
        <v>4656.3999999999996</v>
      </c>
      <c r="AE154" s="428">
        <f>AE155</f>
        <v>5021.3</v>
      </c>
      <c r="AF154" s="438">
        <f>AF155</f>
        <v>5193.1000000000004</v>
      </c>
      <c r="AG154" s="19"/>
      <c r="AH154" s="19"/>
      <c r="AI154" s="113"/>
    </row>
    <row r="155" spans="1:35" x14ac:dyDescent="0.25">
      <c r="A155" s="70"/>
      <c r="B155" s="63"/>
      <c r="C155" s="64"/>
      <c r="D155" s="64"/>
      <c r="E155" s="12"/>
      <c r="F155" s="64"/>
      <c r="G155" s="65"/>
      <c r="H155" s="77"/>
      <c r="I155" s="77"/>
      <c r="J155" s="77"/>
      <c r="K155" s="77"/>
      <c r="L155" s="58"/>
      <c r="M155" s="77"/>
      <c r="N155" s="58"/>
      <c r="O155" s="71"/>
      <c r="P155" s="65"/>
      <c r="Q155" s="66"/>
      <c r="R155" s="16"/>
      <c r="S155" s="16"/>
      <c r="T155" s="16"/>
      <c r="U155" s="16"/>
      <c r="V155" s="16"/>
      <c r="W155" s="77"/>
      <c r="X155" s="294" t="s">
        <v>94</v>
      </c>
      <c r="Y155" s="295" t="s">
        <v>62</v>
      </c>
      <c r="Z155" s="296" t="s">
        <v>29</v>
      </c>
      <c r="AA155" s="296" t="s">
        <v>6</v>
      </c>
      <c r="AB155" s="348" t="s">
        <v>447</v>
      </c>
      <c r="AC155" s="297">
        <v>120</v>
      </c>
      <c r="AD155" s="459">
        <f>4643.4+13</f>
        <v>4656.3999999999996</v>
      </c>
      <c r="AE155" s="428">
        <v>5021.3</v>
      </c>
      <c r="AF155" s="438">
        <v>5193.1000000000004</v>
      </c>
      <c r="AG155" s="19"/>
      <c r="AH155" s="19"/>
      <c r="AI155" s="113"/>
    </row>
    <row r="156" spans="1:35" x14ac:dyDescent="0.25">
      <c r="A156" s="70"/>
      <c r="B156" s="63"/>
      <c r="C156" s="64"/>
      <c r="D156" s="64"/>
      <c r="E156" s="12"/>
      <c r="F156" s="64"/>
      <c r="G156" s="65"/>
      <c r="H156" s="77"/>
      <c r="I156" s="77"/>
      <c r="J156" s="77"/>
      <c r="K156" s="77"/>
      <c r="L156" s="58"/>
      <c r="M156" s="77"/>
      <c r="N156" s="58"/>
      <c r="O156" s="71"/>
      <c r="P156" s="65"/>
      <c r="Q156" s="66"/>
      <c r="R156" s="16"/>
      <c r="S156" s="16"/>
      <c r="T156" s="16"/>
      <c r="U156" s="16"/>
      <c r="V156" s="16"/>
      <c r="W156" s="77"/>
      <c r="X156" s="294" t="s">
        <v>46</v>
      </c>
      <c r="Y156" s="295" t="s">
        <v>62</v>
      </c>
      <c r="Z156" s="296" t="s">
        <v>29</v>
      </c>
      <c r="AA156" s="296" t="s">
        <v>48</v>
      </c>
      <c r="AB156" s="347"/>
      <c r="AC156" s="297"/>
      <c r="AD156" s="459">
        <f t="shared" ref="AD156:AF161" si="27">AD157</f>
        <v>578.5</v>
      </c>
      <c r="AE156" s="428">
        <f t="shared" si="27"/>
        <v>74</v>
      </c>
      <c r="AF156" s="438">
        <f t="shared" si="27"/>
        <v>74</v>
      </c>
      <c r="AG156" s="19"/>
      <c r="AH156" s="19"/>
      <c r="AI156" s="113"/>
    </row>
    <row r="157" spans="1:35" x14ac:dyDescent="0.25">
      <c r="A157" s="70"/>
      <c r="B157" s="63"/>
      <c r="C157" s="64"/>
      <c r="D157" s="64"/>
      <c r="E157" s="12"/>
      <c r="F157" s="64"/>
      <c r="G157" s="65"/>
      <c r="H157" s="77"/>
      <c r="I157" s="77"/>
      <c r="J157" s="77"/>
      <c r="K157" s="77"/>
      <c r="L157" s="58"/>
      <c r="M157" s="77"/>
      <c r="N157" s="58"/>
      <c r="O157" s="71"/>
      <c r="P157" s="65"/>
      <c r="Q157" s="66"/>
      <c r="R157" s="16"/>
      <c r="S157" s="16"/>
      <c r="T157" s="16"/>
      <c r="U157" s="16"/>
      <c r="V157" s="16"/>
      <c r="W157" s="77"/>
      <c r="X157" s="299" t="s">
        <v>184</v>
      </c>
      <c r="Y157" s="295" t="s">
        <v>62</v>
      </c>
      <c r="Z157" s="296" t="s">
        <v>29</v>
      </c>
      <c r="AA157" s="296" t="s">
        <v>48</v>
      </c>
      <c r="AB157" s="348" t="s">
        <v>110</v>
      </c>
      <c r="AC157" s="297"/>
      <c r="AD157" s="459">
        <f t="shared" si="27"/>
        <v>578.5</v>
      </c>
      <c r="AE157" s="428">
        <f t="shared" si="27"/>
        <v>74</v>
      </c>
      <c r="AF157" s="438">
        <f t="shared" si="27"/>
        <v>74</v>
      </c>
      <c r="AG157" s="19"/>
      <c r="AH157" s="19"/>
      <c r="AI157" s="113"/>
    </row>
    <row r="158" spans="1:35" x14ac:dyDescent="0.25">
      <c r="A158" s="70"/>
      <c r="B158" s="63"/>
      <c r="C158" s="64"/>
      <c r="D158" s="64"/>
      <c r="E158" s="12"/>
      <c r="F158" s="64"/>
      <c r="G158" s="65"/>
      <c r="H158" s="77"/>
      <c r="I158" s="77"/>
      <c r="J158" s="77"/>
      <c r="K158" s="77"/>
      <c r="L158" s="58"/>
      <c r="M158" s="77"/>
      <c r="N158" s="58"/>
      <c r="O158" s="71"/>
      <c r="P158" s="65"/>
      <c r="Q158" s="66"/>
      <c r="R158" s="16"/>
      <c r="S158" s="16"/>
      <c r="T158" s="16"/>
      <c r="U158" s="16"/>
      <c r="V158" s="16"/>
      <c r="W158" s="77"/>
      <c r="X158" s="299" t="s">
        <v>187</v>
      </c>
      <c r="Y158" s="295" t="s">
        <v>62</v>
      </c>
      <c r="Z158" s="296" t="s">
        <v>29</v>
      </c>
      <c r="AA158" s="296" t="s">
        <v>48</v>
      </c>
      <c r="AB158" s="348" t="s">
        <v>188</v>
      </c>
      <c r="AC158" s="297"/>
      <c r="AD158" s="459">
        <f t="shared" ref="AD158:AF159" si="28">AD159</f>
        <v>578.5</v>
      </c>
      <c r="AE158" s="428">
        <f t="shared" si="28"/>
        <v>74</v>
      </c>
      <c r="AF158" s="438">
        <f t="shared" si="28"/>
        <v>74</v>
      </c>
      <c r="AG158" s="19"/>
      <c r="AH158" s="19"/>
      <c r="AI158" s="113"/>
    </row>
    <row r="159" spans="1:35" ht="31.5" x14ac:dyDescent="0.25">
      <c r="A159" s="70"/>
      <c r="B159" s="63"/>
      <c r="C159" s="64"/>
      <c r="D159" s="64"/>
      <c r="E159" s="12"/>
      <c r="F159" s="64"/>
      <c r="G159" s="65"/>
      <c r="H159" s="77"/>
      <c r="I159" s="77"/>
      <c r="J159" s="77"/>
      <c r="K159" s="77"/>
      <c r="L159" s="58"/>
      <c r="M159" s="77"/>
      <c r="N159" s="58"/>
      <c r="O159" s="71"/>
      <c r="P159" s="65"/>
      <c r="Q159" s="66"/>
      <c r="R159" s="16"/>
      <c r="S159" s="16"/>
      <c r="T159" s="16"/>
      <c r="U159" s="16"/>
      <c r="V159" s="16"/>
      <c r="W159" s="77"/>
      <c r="X159" s="299" t="s">
        <v>189</v>
      </c>
      <c r="Y159" s="295" t="s">
        <v>62</v>
      </c>
      <c r="Z159" s="296" t="s">
        <v>29</v>
      </c>
      <c r="AA159" s="296" t="s">
        <v>48</v>
      </c>
      <c r="AB159" s="348" t="s">
        <v>190</v>
      </c>
      <c r="AC159" s="297"/>
      <c r="AD159" s="459">
        <f t="shared" si="28"/>
        <v>578.5</v>
      </c>
      <c r="AE159" s="428">
        <f t="shared" si="28"/>
        <v>74</v>
      </c>
      <c r="AF159" s="438">
        <f t="shared" si="28"/>
        <v>74</v>
      </c>
      <c r="AG159" s="19"/>
      <c r="AH159" s="19"/>
      <c r="AI159" s="113"/>
    </row>
    <row r="160" spans="1:35" x14ac:dyDescent="0.25">
      <c r="A160" s="69"/>
      <c r="B160" s="63"/>
      <c r="C160" s="64"/>
      <c r="D160" s="64"/>
      <c r="E160" s="12"/>
      <c r="F160" s="57"/>
      <c r="G160" s="65"/>
      <c r="H160" s="65"/>
      <c r="I160" s="65"/>
      <c r="J160" s="65"/>
      <c r="K160" s="65"/>
      <c r="L160" s="58"/>
      <c r="M160" s="65"/>
      <c r="N160" s="58"/>
      <c r="P160" s="65"/>
      <c r="Q160" s="66"/>
      <c r="R160" s="16"/>
      <c r="S160" s="16"/>
      <c r="T160" s="16"/>
      <c r="U160" s="16"/>
      <c r="V160" s="16"/>
      <c r="W160" s="16"/>
      <c r="X160" s="307" t="s">
        <v>219</v>
      </c>
      <c r="Y160" s="295" t="s">
        <v>62</v>
      </c>
      <c r="Z160" s="296" t="s">
        <v>29</v>
      </c>
      <c r="AA160" s="296" t="s">
        <v>48</v>
      </c>
      <c r="AB160" s="350" t="s">
        <v>220</v>
      </c>
      <c r="AC160" s="317"/>
      <c r="AD160" s="459">
        <f t="shared" si="27"/>
        <v>578.5</v>
      </c>
      <c r="AE160" s="428">
        <f t="shared" si="27"/>
        <v>74</v>
      </c>
      <c r="AF160" s="438">
        <f t="shared" si="27"/>
        <v>74</v>
      </c>
      <c r="AG160" s="19"/>
      <c r="AH160" s="19"/>
      <c r="AI160" s="113"/>
    </row>
    <row r="161" spans="1:35" x14ac:dyDescent="0.25">
      <c r="A161" s="69"/>
      <c r="B161" s="63"/>
      <c r="C161" s="64"/>
      <c r="D161" s="64"/>
      <c r="E161" s="12"/>
      <c r="F161" s="57"/>
      <c r="G161" s="65"/>
      <c r="H161" s="65"/>
      <c r="I161" s="65"/>
      <c r="J161" s="65"/>
      <c r="K161" s="65"/>
      <c r="L161" s="58"/>
      <c r="M161" s="65"/>
      <c r="N161" s="58"/>
      <c r="P161" s="65"/>
      <c r="Q161" s="66"/>
      <c r="R161" s="16"/>
      <c r="S161" s="16"/>
      <c r="T161" s="16"/>
      <c r="U161" s="16"/>
      <c r="V161" s="16"/>
      <c r="W161" s="16"/>
      <c r="X161" s="294" t="s">
        <v>118</v>
      </c>
      <c r="Y161" s="295" t="s">
        <v>62</v>
      </c>
      <c r="Z161" s="296" t="s">
        <v>29</v>
      </c>
      <c r="AA161" s="296" t="s">
        <v>48</v>
      </c>
      <c r="AB161" s="350" t="s">
        <v>220</v>
      </c>
      <c r="AC161" s="372">
        <v>200</v>
      </c>
      <c r="AD161" s="459">
        <f t="shared" si="27"/>
        <v>578.5</v>
      </c>
      <c r="AE161" s="428">
        <f t="shared" si="27"/>
        <v>74</v>
      </c>
      <c r="AF161" s="438">
        <f t="shared" si="27"/>
        <v>74</v>
      </c>
      <c r="AG161" s="19"/>
      <c r="AH161" s="19"/>
      <c r="AI161" s="113"/>
    </row>
    <row r="162" spans="1:35" ht="31.5" x14ac:dyDescent="0.25">
      <c r="A162" s="69"/>
      <c r="B162" s="63"/>
      <c r="C162" s="64"/>
      <c r="D162" s="64"/>
      <c r="E162" s="12"/>
      <c r="F162" s="57"/>
      <c r="G162" s="65"/>
      <c r="H162" s="65"/>
      <c r="I162" s="65"/>
      <c r="J162" s="65"/>
      <c r="K162" s="65"/>
      <c r="L162" s="58"/>
      <c r="M162" s="65"/>
      <c r="N162" s="58"/>
      <c r="P162" s="65"/>
      <c r="Q162" s="66"/>
      <c r="R162" s="16"/>
      <c r="S162" s="16"/>
      <c r="T162" s="16"/>
      <c r="U162" s="16"/>
      <c r="V162" s="16"/>
      <c r="W162" s="16"/>
      <c r="X162" s="294" t="s">
        <v>51</v>
      </c>
      <c r="Y162" s="295" t="s">
        <v>62</v>
      </c>
      <c r="Z162" s="296" t="s">
        <v>29</v>
      </c>
      <c r="AA162" s="296" t="s">
        <v>48</v>
      </c>
      <c r="AB162" s="350" t="s">
        <v>220</v>
      </c>
      <c r="AC162" s="372">
        <v>240</v>
      </c>
      <c r="AD162" s="459">
        <f>650-71.5</f>
        <v>578.5</v>
      </c>
      <c r="AE162" s="428">
        <v>74</v>
      </c>
      <c r="AF162" s="438">
        <v>74</v>
      </c>
      <c r="AG162" s="19"/>
      <c r="AH162" s="19"/>
      <c r="AI162" s="113"/>
    </row>
    <row r="163" spans="1:35" s="62" customFormat="1" x14ac:dyDescent="0.25">
      <c r="A163" s="53"/>
      <c r="B163" s="54"/>
      <c r="C163" s="56"/>
      <c r="D163" s="56"/>
      <c r="E163" s="57"/>
      <c r="F163" s="57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60"/>
      <c r="R163" s="61"/>
      <c r="S163" s="61"/>
      <c r="T163" s="61"/>
      <c r="U163" s="61"/>
      <c r="V163" s="61"/>
      <c r="W163" s="61"/>
      <c r="X163" s="445" t="s">
        <v>45</v>
      </c>
      <c r="Y163" s="291" t="s">
        <v>62</v>
      </c>
      <c r="Z163" s="312" t="s">
        <v>6</v>
      </c>
      <c r="AA163" s="312"/>
      <c r="AB163" s="345"/>
      <c r="AC163" s="317"/>
      <c r="AD163" s="458">
        <f>AD164+AD179+AD213</f>
        <v>50661.4</v>
      </c>
      <c r="AE163" s="427">
        <f>AE164+AE179+AE213</f>
        <v>24976.799999999999</v>
      </c>
      <c r="AF163" s="437">
        <f>AF164+AF179+AF213</f>
        <v>22943.199999999997</v>
      </c>
      <c r="AG163" s="142"/>
      <c r="AH163" s="142"/>
      <c r="AI163" s="113"/>
    </row>
    <row r="164" spans="1:35" s="77" customFormat="1" x14ac:dyDescent="0.25">
      <c r="A164" s="72"/>
      <c r="B164" s="63"/>
      <c r="C164" s="64"/>
      <c r="D164" s="64"/>
      <c r="E164" s="12"/>
      <c r="F164" s="12"/>
      <c r="G164" s="65"/>
      <c r="H164" s="65"/>
      <c r="I164" s="65"/>
      <c r="J164" s="65"/>
      <c r="K164" s="65"/>
      <c r="L164" s="58"/>
      <c r="M164" s="65"/>
      <c r="N164" s="58"/>
      <c r="O164" s="65"/>
      <c r="P164" s="65"/>
      <c r="Q164" s="66"/>
      <c r="R164" s="16"/>
      <c r="S164" s="16"/>
      <c r="T164" s="16"/>
      <c r="U164" s="16"/>
      <c r="V164" s="16"/>
      <c r="W164" s="16"/>
      <c r="X164" s="294" t="s">
        <v>360</v>
      </c>
      <c r="Y164" s="295" t="s">
        <v>62</v>
      </c>
      <c r="Z164" s="296" t="s">
        <v>6</v>
      </c>
      <c r="AA164" s="296" t="s">
        <v>21</v>
      </c>
      <c r="AB164" s="347"/>
      <c r="AC164" s="323"/>
      <c r="AD164" s="459">
        <f t="shared" ref="AD164:AF165" si="29">AD165</f>
        <v>1278.4000000000001</v>
      </c>
      <c r="AE164" s="428">
        <f t="shared" si="29"/>
        <v>1177</v>
      </c>
      <c r="AF164" s="438">
        <f t="shared" si="29"/>
        <v>1177</v>
      </c>
      <c r="AG164" s="19"/>
      <c r="AH164" s="19"/>
      <c r="AI164" s="113"/>
    </row>
    <row r="165" spans="1:35" s="77" customFormat="1" ht="31.5" x14ac:dyDescent="0.25">
      <c r="A165" s="72"/>
      <c r="B165" s="63"/>
      <c r="C165" s="64"/>
      <c r="D165" s="64"/>
      <c r="E165" s="12"/>
      <c r="F165" s="12"/>
      <c r="G165" s="65"/>
      <c r="H165" s="65"/>
      <c r="I165" s="65"/>
      <c r="J165" s="65"/>
      <c r="K165" s="65"/>
      <c r="L165" s="58"/>
      <c r="M165" s="65"/>
      <c r="N165" s="58"/>
      <c r="O165" s="65"/>
      <c r="P165" s="65"/>
      <c r="Q165" s="66"/>
      <c r="R165" s="16"/>
      <c r="S165" s="16"/>
      <c r="T165" s="16"/>
      <c r="U165" s="16"/>
      <c r="V165" s="16"/>
      <c r="W165" s="16"/>
      <c r="X165" s="299" t="s">
        <v>159</v>
      </c>
      <c r="Y165" s="295" t="s">
        <v>62</v>
      </c>
      <c r="Z165" s="296" t="s">
        <v>6</v>
      </c>
      <c r="AA165" s="296" t="s">
        <v>21</v>
      </c>
      <c r="AB165" s="347" t="s">
        <v>100</v>
      </c>
      <c r="AC165" s="323"/>
      <c r="AD165" s="459">
        <f t="shared" si="29"/>
        <v>1278.4000000000001</v>
      </c>
      <c r="AE165" s="428">
        <f t="shared" si="29"/>
        <v>1177</v>
      </c>
      <c r="AF165" s="438">
        <f t="shared" si="29"/>
        <v>1177</v>
      </c>
      <c r="AG165" s="19"/>
      <c r="AH165" s="19"/>
      <c r="AI165" s="113"/>
    </row>
    <row r="166" spans="1:35" s="77" customFormat="1" ht="31.5" x14ac:dyDescent="0.25">
      <c r="A166" s="72"/>
      <c r="B166" s="63"/>
      <c r="C166" s="64"/>
      <c r="D166" s="64"/>
      <c r="E166" s="12"/>
      <c r="F166" s="12"/>
      <c r="G166" s="65"/>
      <c r="H166" s="65"/>
      <c r="I166" s="65"/>
      <c r="J166" s="65"/>
      <c r="K166" s="65"/>
      <c r="L166" s="58"/>
      <c r="M166" s="65"/>
      <c r="N166" s="58"/>
      <c r="O166" s="65"/>
      <c r="P166" s="65"/>
      <c r="Q166" s="66"/>
      <c r="R166" s="16"/>
      <c r="S166" s="16"/>
      <c r="T166" s="16"/>
      <c r="U166" s="16"/>
      <c r="V166" s="16"/>
      <c r="W166" s="16"/>
      <c r="X166" s="299" t="s">
        <v>572</v>
      </c>
      <c r="Y166" s="295" t="s">
        <v>62</v>
      </c>
      <c r="Z166" s="296" t="s">
        <v>6</v>
      </c>
      <c r="AA166" s="296" t="s">
        <v>21</v>
      </c>
      <c r="AB166" s="348" t="s">
        <v>101</v>
      </c>
      <c r="AC166" s="323"/>
      <c r="AD166" s="459">
        <f>AD167+AD175</f>
        <v>1278.4000000000001</v>
      </c>
      <c r="AE166" s="428">
        <f>AE167+AE175</f>
        <v>1177</v>
      </c>
      <c r="AF166" s="438">
        <f>AF167+AF175</f>
        <v>1177</v>
      </c>
      <c r="AG166" s="19"/>
      <c r="AH166" s="19"/>
      <c r="AI166" s="113"/>
    </row>
    <row r="167" spans="1:35" s="77" customFormat="1" ht="78.75" x14ac:dyDescent="0.25">
      <c r="A167" s="72"/>
      <c r="B167" s="63"/>
      <c r="C167" s="64"/>
      <c r="D167" s="64"/>
      <c r="E167" s="12"/>
      <c r="F167" s="12"/>
      <c r="G167" s="65"/>
      <c r="H167" s="65"/>
      <c r="I167" s="65"/>
      <c r="J167" s="65"/>
      <c r="K167" s="65"/>
      <c r="L167" s="58"/>
      <c r="M167" s="65"/>
      <c r="N167" s="58"/>
      <c r="O167" s="65"/>
      <c r="P167" s="65"/>
      <c r="Q167" s="66"/>
      <c r="R167" s="16"/>
      <c r="S167" s="16"/>
      <c r="T167" s="16"/>
      <c r="U167" s="16"/>
      <c r="V167" s="16"/>
      <c r="W167" s="16"/>
      <c r="X167" s="307" t="s">
        <v>574</v>
      </c>
      <c r="Y167" s="295" t="s">
        <v>62</v>
      </c>
      <c r="Z167" s="296" t="s">
        <v>6</v>
      </c>
      <c r="AA167" s="296" t="s">
        <v>21</v>
      </c>
      <c r="AB167" s="348" t="s">
        <v>122</v>
      </c>
      <c r="AC167" s="323"/>
      <c r="AD167" s="459">
        <f>AD168+AD171</f>
        <v>828.4</v>
      </c>
      <c r="AE167" s="428">
        <f>AE168+AE171</f>
        <v>727</v>
      </c>
      <c r="AF167" s="438">
        <f>AF168+AF171</f>
        <v>727</v>
      </c>
      <c r="AG167" s="19"/>
      <c r="AH167" s="19"/>
      <c r="AI167" s="113"/>
    </row>
    <row r="168" spans="1:35" s="77" customFormat="1" ht="31.5" x14ac:dyDescent="0.25">
      <c r="A168" s="72"/>
      <c r="B168" s="63"/>
      <c r="C168" s="64"/>
      <c r="D168" s="64"/>
      <c r="E168" s="12"/>
      <c r="F168" s="12"/>
      <c r="G168" s="65"/>
      <c r="H168" s="65"/>
      <c r="I168" s="65"/>
      <c r="J168" s="65"/>
      <c r="K168" s="65"/>
      <c r="L168" s="58"/>
      <c r="M168" s="65"/>
      <c r="N168" s="58"/>
      <c r="O168" s="65"/>
      <c r="P168" s="65"/>
      <c r="Q168" s="66"/>
      <c r="R168" s="16"/>
      <c r="S168" s="16"/>
      <c r="T168" s="16"/>
      <c r="U168" s="16"/>
      <c r="V168" s="16"/>
      <c r="W168" s="16"/>
      <c r="X168" s="307" t="s">
        <v>172</v>
      </c>
      <c r="Y168" s="295" t="s">
        <v>62</v>
      </c>
      <c r="Z168" s="296" t="s">
        <v>6</v>
      </c>
      <c r="AA168" s="296" t="s">
        <v>21</v>
      </c>
      <c r="AB168" s="348" t="s">
        <v>173</v>
      </c>
      <c r="AC168" s="323"/>
      <c r="AD168" s="459">
        <f t="shared" ref="AD168:AF169" si="30">AD169</f>
        <v>728.4</v>
      </c>
      <c r="AE168" s="428">
        <f t="shared" si="30"/>
        <v>727</v>
      </c>
      <c r="AF168" s="438">
        <f t="shared" si="30"/>
        <v>727</v>
      </c>
      <c r="AG168" s="19"/>
      <c r="AH168" s="19"/>
      <c r="AI168" s="113"/>
    </row>
    <row r="169" spans="1:35" s="77" customFormat="1" x14ac:dyDescent="0.25">
      <c r="A169" s="72"/>
      <c r="B169" s="63"/>
      <c r="C169" s="64"/>
      <c r="D169" s="64"/>
      <c r="E169" s="12"/>
      <c r="F169" s="12"/>
      <c r="G169" s="65"/>
      <c r="H169" s="65"/>
      <c r="I169" s="65"/>
      <c r="J169" s="65"/>
      <c r="K169" s="65"/>
      <c r="L169" s="58"/>
      <c r="M169" s="65"/>
      <c r="N169" s="58"/>
      <c r="O169" s="65"/>
      <c r="P169" s="65"/>
      <c r="Q169" s="66"/>
      <c r="R169" s="16"/>
      <c r="S169" s="16"/>
      <c r="T169" s="16"/>
      <c r="U169" s="16"/>
      <c r="V169" s="16"/>
      <c r="W169" s="16"/>
      <c r="X169" s="294" t="s">
        <v>118</v>
      </c>
      <c r="Y169" s="295" t="s">
        <v>62</v>
      </c>
      <c r="Z169" s="296" t="s">
        <v>6</v>
      </c>
      <c r="AA169" s="296" t="s">
        <v>21</v>
      </c>
      <c r="AB169" s="348" t="s">
        <v>173</v>
      </c>
      <c r="AC169" s="323">
        <v>200</v>
      </c>
      <c r="AD169" s="459">
        <f t="shared" si="30"/>
        <v>728.4</v>
      </c>
      <c r="AE169" s="428">
        <f t="shared" si="30"/>
        <v>727</v>
      </c>
      <c r="AF169" s="438">
        <f t="shared" si="30"/>
        <v>727</v>
      </c>
      <c r="AG169" s="19"/>
      <c r="AH169" s="19"/>
      <c r="AI169" s="113"/>
    </row>
    <row r="170" spans="1:35" s="77" customFormat="1" ht="31.5" x14ac:dyDescent="0.25">
      <c r="A170" s="72"/>
      <c r="B170" s="63"/>
      <c r="C170" s="64"/>
      <c r="D170" s="64"/>
      <c r="E170" s="12"/>
      <c r="F170" s="12"/>
      <c r="G170" s="65"/>
      <c r="H170" s="65"/>
      <c r="I170" s="65"/>
      <c r="J170" s="65"/>
      <c r="K170" s="65"/>
      <c r="L170" s="58"/>
      <c r="M170" s="65"/>
      <c r="N170" s="58"/>
      <c r="O170" s="65"/>
      <c r="P170" s="65"/>
      <c r="Q170" s="66"/>
      <c r="R170" s="16"/>
      <c r="S170" s="16"/>
      <c r="T170" s="16"/>
      <c r="U170" s="16"/>
      <c r="V170" s="16"/>
      <c r="W170" s="16"/>
      <c r="X170" s="294" t="s">
        <v>51</v>
      </c>
      <c r="Y170" s="295" t="s">
        <v>62</v>
      </c>
      <c r="Z170" s="296" t="s">
        <v>6</v>
      </c>
      <c r="AA170" s="296" t="s">
        <v>21</v>
      </c>
      <c r="AB170" s="348" t="s">
        <v>173</v>
      </c>
      <c r="AC170" s="323">
        <v>240</v>
      </c>
      <c r="AD170" s="459">
        <f>727+1.4</f>
        <v>728.4</v>
      </c>
      <c r="AE170" s="428">
        <v>727</v>
      </c>
      <c r="AF170" s="438">
        <v>727</v>
      </c>
      <c r="AG170" s="19"/>
      <c r="AH170" s="19"/>
      <c r="AI170" s="113"/>
    </row>
    <row r="171" spans="1:35" s="77" customFormat="1" ht="47.25" x14ac:dyDescent="0.25">
      <c r="A171" s="72"/>
      <c r="B171" s="63"/>
      <c r="C171" s="64"/>
      <c r="D171" s="64"/>
      <c r="E171" s="12"/>
      <c r="F171" s="12"/>
      <c r="G171" s="65"/>
      <c r="H171" s="65"/>
      <c r="I171" s="65"/>
      <c r="J171" s="65"/>
      <c r="K171" s="65"/>
      <c r="L171" s="58"/>
      <c r="M171" s="65"/>
      <c r="N171" s="58"/>
      <c r="O171" s="65"/>
      <c r="P171" s="65"/>
      <c r="Q171" s="66"/>
      <c r="R171" s="16"/>
      <c r="S171" s="16"/>
      <c r="T171" s="16"/>
      <c r="U171" s="16"/>
      <c r="V171" s="16"/>
      <c r="W171" s="16"/>
      <c r="X171" s="294" t="s">
        <v>667</v>
      </c>
      <c r="Y171" s="295" t="s">
        <v>62</v>
      </c>
      <c r="Z171" s="296" t="s">
        <v>6</v>
      </c>
      <c r="AA171" s="296" t="s">
        <v>21</v>
      </c>
      <c r="AB171" s="348" t="s">
        <v>711</v>
      </c>
      <c r="AC171" s="323"/>
      <c r="AD171" s="459">
        <f t="shared" ref="AD171:AF173" si="31">AD172</f>
        <v>100</v>
      </c>
      <c r="AE171" s="428">
        <f t="shared" si="31"/>
        <v>0</v>
      </c>
      <c r="AF171" s="438">
        <f t="shared" si="31"/>
        <v>0</v>
      </c>
      <c r="AG171" s="19"/>
      <c r="AH171" s="19"/>
      <c r="AI171" s="113"/>
    </row>
    <row r="172" spans="1:35" s="77" customFormat="1" ht="31.5" x14ac:dyDescent="0.25">
      <c r="A172" s="72"/>
      <c r="B172" s="63"/>
      <c r="C172" s="64"/>
      <c r="D172" s="64"/>
      <c r="E172" s="12"/>
      <c r="F172" s="12"/>
      <c r="G172" s="65"/>
      <c r="H172" s="65"/>
      <c r="I172" s="65"/>
      <c r="J172" s="65"/>
      <c r="K172" s="65"/>
      <c r="L172" s="58"/>
      <c r="M172" s="65"/>
      <c r="N172" s="58"/>
      <c r="O172" s="65"/>
      <c r="P172" s="65"/>
      <c r="Q172" s="66"/>
      <c r="R172" s="16"/>
      <c r="S172" s="16"/>
      <c r="T172" s="16"/>
      <c r="U172" s="16"/>
      <c r="V172" s="16"/>
      <c r="W172" s="16"/>
      <c r="X172" s="294" t="s">
        <v>668</v>
      </c>
      <c r="Y172" s="295" t="s">
        <v>62</v>
      </c>
      <c r="Z172" s="296" t="s">
        <v>6</v>
      </c>
      <c r="AA172" s="296" t="s">
        <v>21</v>
      </c>
      <c r="AB172" s="348" t="s">
        <v>669</v>
      </c>
      <c r="AC172" s="323"/>
      <c r="AD172" s="459">
        <f t="shared" si="31"/>
        <v>100</v>
      </c>
      <c r="AE172" s="428">
        <f t="shared" si="31"/>
        <v>0</v>
      </c>
      <c r="AF172" s="438">
        <f t="shared" si="31"/>
        <v>0</v>
      </c>
      <c r="AG172" s="19"/>
      <c r="AH172" s="19"/>
      <c r="AI172" s="113"/>
    </row>
    <row r="173" spans="1:35" s="77" customFormat="1" x14ac:dyDescent="0.25">
      <c r="A173" s="72"/>
      <c r="B173" s="63"/>
      <c r="C173" s="64"/>
      <c r="D173" s="64"/>
      <c r="E173" s="12"/>
      <c r="F173" s="12"/>
      <c r="G173" s="65"/>
      <c r="H173" s="65"/>
      <c r="I173" s="65"/>
      <c r="J173" s="65"/>
      <c r="K173" s="65"/>
      <c r="L173" s="58"/>
      <c r="M173" s="65"/>
      <c r="N173" s="58"/>
      <c r="O173" s="65"/>
      <c r="P173" s="65"/>
      <c r="Q173" s="66"/>
      <c r="R173" s="16"/>
      <c r="S173" s="16"/>
      <c r="T173" s="16"/>
      <c r="U173" s="16"/>
      <c r="V173" s="16"/>
      <c r="W173" s="16"/>
      <c r="X173" s="294" t="s">
        <v>118</v>
      </c>
      <c r="Y173" s="295" t="s">
        <v>62</v>
      </c>
      <c r="Z173" s="296" t="s">
        <v>6</v>
      </c>
      <c r="AA173" s="296" t="s">
        <v>21</v>
      </c>
      <c r="AB173" s="348" t="s">
        <v>669</v>
      </c>
      <c r="AC173" s="323">
        <v>200</v>
      </c>
      <c r="AD173" s="459">
        <f t="shared" si="31"/>
        <v>100</v>
      </c>
      <c r="AE173" s="428">
        <f t="shared" si="31"/>
        <v>0</v>
      </c>
      <c r="AF173" s="438">
        <f t="shared" si="31"/>
        <v>0</v>
      </c>
      <c r="AG173" s="19"/>
      <c r="AH173" s="19"/>
      <c r="AI173" s="113"/>
    </row>
    <row r="174" spans="1:35" s="77" customFormat="1" ht="31.5" x14ac:dyDescent="0.25">
      <c r="A174" s="72"/>
      <c r="B174" s="63"/>
      <c r="C174" s="64"/>
      <c r="D174" s="64"/>
      <c r="E174" s="12"/>
      <c r="F174" s="12"/>
      <c r="G174" s="65"/>
      <c r="H174" s="65"/>
      <c r="I174" s="65"/>
      <c r="J174" s="65"/>
      <c r="K174" s="65"/>
      <c r="L174" s="58"/>
      <c r="M174" s="65"/>
      <c r="N174" s="58"/>
      <c r="O174" s="65"/>
      <c r="P174" s="65"/>
      <c r="Q174" s="66"/>
      <c r="R174" s="16"/>
      <c r="S174" s="16"/>
      <c r="T174" s="16"/>
      <c r="U174" s="16"/>
      <c r="V174" s="16"/>
      <c r="W174" s="16"/>
      <c r="X174" s="294" t="s">
        <v>51</v>
      </c>
      <c r="Y174" s="295" t="s">
        <v>62</v>
      </c>
      <c r="Z174" s="296" t="s">
        <v>6</v>
      </c>
      <c r="AA174" s="296" t="s">
        <v>21</v>
      </c>
      <c r="AB174" s="348" t="s">
        <v>669</v>
      </c>
      <c r="AC174" s="323">
        <v>240</v>
      </c>
      <c r="AD174" s="459">
        <v>100</v>
      </c>
      <c r="AE174" s="428">
        <v>0</v>
      </c>
      <c r="AF174" s="438">
        <v>0</v>
      </c>
      <c r="AG174" s="19"/>
      <c r="AH174" s="19"/>
      <c r="AI174" s="113"/>
    </row>
    <row r="175" spans="1:35" s="77" customFormat="1" ht="47.25" x14ac:dyDescent="0.25">
      <c r="A175" s="72"/>
      <c r="B175" s="63"/>
      <c r="C175" s="64"/>
      <c r="D175" s="64"/>
      <c r="E175" s="12"/>
      <c r="F175" s="12"/>
      <c r="G175" s="65"/>
      <c r="H175" s="65"/>
      <c r="I175" s="65"/>
      <c r="J175" s="65"/>
      <c r="K175" s="65"/>
      <c r="L175" s="58"/>
      <c r="M175" s="65"/>
      <c r="N175" s="58"/>
      <c r="O175" s="65"/>
      <c r="P175" s="65"/>
      <c r="Q175" s="66"/>
      <c r="R175" s="16"/>
      <c r="S175" s="16"/>
      <c r="T175" s="16"/>
      <c r="U175" s="16"/>
      <c r="V175" s="16"/>
      <c r="W175" s="16"/>
      <c r="X175" s="307" t="s">
        <v>554</v>
      </c>
      <c r="Y175" s="295" t="s">
        <v>62</v>
      </c>
      <c r="Z175" s="296" t="s">
        <v>6</v>
      </c>
      <c r="AA175" s="296" t="s">
        <v>21</v>
      </c>
      <c r="AB175" s="348" t="s">
        <v>553</v>
      </c>
      <c r="AC175" s="314"/>
      <c r="AD175" s="459">
        <f>AD176</f>
        <v>450</v>
      </c>
      <c r="AE175" s="428">
        <f>AE176</f>
        <v>450</v>
      </c>
      <c r="AF175" s="438">
        <f>AF176</f>
        <v>450</v>
      </c>
      <c r="AG175" s="19"/>
      <c r="AH175" s="19"/>
      <c r="AI175" s="113"/>
    </row>
    <row r="176" spans="1:35" s="77" customFormat="1" ht="31.5" x14ac:dyDescent="0.25">
      <c r="A176" s="72"/>
      <c r="B176" s="63"/>
      <c r="C176" s="64"/>
      <c r="D176" s="64"/>
      <c r="E176" s="12"/>
      <c r="F176" s="12"/>
      <c r="G176" s="65"/>
      <c r="H176" s="65"/>
      <c r="I176" s="65"/>
      <c r="J176" s="65"/>
      <c r="K176" s="65"/>
      <c r="L176" s="58"/>
      <c r="M176" s="65"/>
      <c r="N176" s="58"/>
      <c r="O176" s="65"/>
      <c r="P176" s="65"/>
      <c r="Q176" s="66"/>
      <c r="R176" s="16"/>
      <c r="S176" s="16"/>
      <c r="T176" s="16"/>
      <c r="U176" s="16"/>
      <c r="V176" s="16"/>
      <c r="W176" s="16"/>
      <c r="X176" s="307" t="s">
        <v>555</v>
      </c>
      <c r="Y176" s="295" t="s">
        <v>62</v>
      </c>
      <c r="Z176" s="296" t="s">
        <v>6</v>
      </c>
      <c r="AA176" s="296" t="s">
        <v>21</v>
      </c>
      <c r="AB176" s="348" t="s">
        <v>556</v>
      </c>
      <c r="AC176" s="314"/>
      <c r="AD176" s="459">
        <f t="shared" ref="AD176:AF177" si="32">AD177</f>
        <v>450</v>
      </c>
      <c r="AE176" s="428">
        <f t="shared" si="32"/>
        <v>450</v>
      </c>
      <c r="AF176" s="438">
        <f t="shared" si="32"/>
        <v>450</v>
      </c>
      <c r="AG176" s="19"/>
      <c r="AH176" s="19"/>
      <c r="AI176" s="113"/>
    </row>
    <row r="177" spans="1:35" s="77" customFormat="1" x14ac:dyDescent="0.25">
      <c r="A177" s="72"/>
      <c r="B177" s="63"/>
      <c r="C177" s="64"/>
      <c r="D177" s="64"/>
      <c r="E177" s="12"/>
      <c r="F177" s="12"/>
      <c r="G177" s="65"/>
      <c r="H177" s="65"/>
      <c r="I177" s="65"/>
      <c r="J177" s="65"/>
      <c r="K177" s="65"/>
      <c r="L177" s="58"/>
      <c r="M177" s="65"/>
      <c r="N177" s="58"/>
      <c r="O177" s="65"/>
      <c r="P177" s="65"/>
      <c r="Q177" s="66"/>
      <c r="R177" s="16"/>
      <c r="S177" s="16"/>
      <c r="T177" s="16"/>
      <c r="U177" s="16"/>
      <c r="V177" s="16"/>
      <c r="W177" s="16"/>
      <c r="X177" s="294" t="s">
        <v>118</v>
      </c>
      <c r="Y177" s="295" t="s">
        <v>62</v>
      </c>
      <c r="Z177" s="296" t="s">
        <v>6</v>
      </c>
      <c r="AA177" s="296" t="s">
        <v>21</v>
      </c>
      <c r="AB177" s="348" t="s">
        <v>556</v>
      </c>
      <c r="AC177" s="314" t="s">
        <v>36</v>
      </c>
      <c r="AD177" s="459">
        <f t="shared" si="32"/>
        <v>450</v>
      </c>
      <c r="AE177" s="428">
        <f t="shared" si="32"/>
        <v>450</v>
      </c>
      <c r="AF177" s="438">
        <f t="shared" si="32"/>
        <v>450</v>
      </c>
      <c r="AG177" s="19"/>
      <c r="AH177" s="19"/>
      <c r="AI177" s="113"/>
    </row>
    <row r="178" spans="1:35" s="77" customFormat="1" ht="31.5" x14ac:dyDescent="0.25">
      <c r="A178" s="72"/>
      <c r="B178" s="63"/>
      <c r="C178" s="64"/>
      <c r="D178" s="64"/>
      <c r="E178" s="12"/>
      <c r="F178" s="12"/>
      <c r="G178" s="65"/>
      <c r="H178" s="65"/>
      <c r="I178" s="65"/>
      <c r="J178" s="65"/>
      <c r="K178" s="65"/>
      <c r="L178" s="58"/>
      <c r="M178" s="65"/>
      <c r="N178" s="58"/>
      <c r="O178" s="65"/>
      <c r="P178" s="65"/>
      <c r="Q178" s="66"/>
      <c r="R178" s="16"/>
      <c r="S178" s="16"/>
      <c r="T178" s="16"/>
      <c r="U178" s="16"/>
      <c r="V178" s="16"/>
      <c r="W178" s="16"/>
      <c r="X178" s="294" t="s">
        <v>51</v>
      </c>
      <c r="Y178" s="295" t="s">
        <v>62</v>
      </c>
      <c r="Z178" s="296" t="s">
        <v>6</v>
      </c>
      <c r="AA178" s="296" t="s">
        <v>21</v>
      </c>
      <c r="AB178" s="348" t="s">
        <v>556</v>
      </c>
      <c r="AC178" s="314" t="s">
        <v>64</v>
      </c>
      <c r="AD178" s="459">
        <f>450+100-100</f>
        <v>450</v>
      </c>
      <c r="AE178" s="428">
        <v>450</v>
      </c>
      <c r="AF178" s="438">
        <v>450</v>
      </c>
      <c r="AG178" s="19"/>
      <c r="AH178" s="19"/>
      <c r="AI178" s="113"/>
    </row>
    <row r="179" spans="1:35" s="77" customFormat="1" ht="31.5" x14ac:dyDescent="0.25">
      <c r="A179" s="72"/>
      <c r="B179" s="63"/>
      <c r="C179" s="64"/>
      <c r="D179" s="64"/>
      <c r="E179" s="12"/>
      <c r="F179" s="12"/>
      <c r="G179" s="65"/>
      <c r="H179" s="65"/>
      <c r="I179" s="65"/>
      <c r="J179" s="65"/>
      <c r="K179" s="65"/>
      <c r="L179" s="58"/>
      <c r="M179" s="65"/>
      <c r="N179" s="58"/>
      <c r="O179" s="65"/>
      <c r="P179" s="65"/>
      <c r="Q179" s="66"/>
      <c r="R179" s="16"/>
      <c r="S179" s="16"/>
      <c r="T179" s="16"/>
      <c r="U179" s="16"/>
      <c r="V179" s="16"/>
      <c r="W179" s="16"/>
      <c r="X179" s="294" t="s">
        <v>361</v>
      </c>
      <c r="Y179" s="295" t="s">
        <v>62</v>
      </c>
      <c r="Z179" s="296" t="s">
        <v>6</v>
      </c>
      <c r="AA179" s="296" t="s">
        <v>35</v>
      </c>
      <c r="AB179" s="347"/>
      <c r="AC179" s="323"/>
      <c r="AD179" s="459">
        <f>AD180</f>
        <v>29493.8</v>
      </c>
      <c r="AE179" s="459">
        <f t="shared" ref="AE179:AF179" si="33">AE180</f>
        <v>11681</v>
      </c>
      <c r="AF179" s="459">
        <f t="shared" si="33"/>
        <v>11717</v>
      </c>
      <c r="AG179" s="19"/>
      <c r="AH179" s="19"/>
      <c r="AI179" s="113"/>
    </row>
    <row r="180" spans="1:35" s="77" customFormat="1" ht="31.5" x14ac:dyDescent="0.25">
      <c r="A180" s="72"/>
      <c r="B180" s="63"/>
      <c r="C180" s="64"/>
      <c r="D180" s="64"/>
      <c r="E180" s="12"/>
      <c r="F180" s="12"/>
      <c r="G180" s="65"/>
      <c r="H180" s="65"/>
      <c r="I180" s="65"/>
      <c r="J180" s="65"/>
      <c r="K180" s="65"/>
      <c r="L180" s="58"/>
      <c r="M180" s="65"/>
      <c r="N180" s="58"/>
      <c r="O180" s="65"/>
      <c r="P180" s="65"/>
      <c r="Q180" s="66"/>
      <c r="R180" s="16"/>
      <c r="S180" s="16"/>
      <c r="T180" s="16"/>
      <c r="U180" s="16"/>
      <c r="V180" s="16"/>
      <c r="W180" s="16"/>
      <c r="X180" s="299" t="s">
        <v>159</v>
      </c>
      <c r="Y180" s="295" t="s">
        <v>62</v>
      </c>
      <c r="Z180" s="296" t="s">
        <v>6</v>
      </c>
      <c r="AA180" s="296" t="s">
        <v>35</v>
      </c>
      <c r="AB180" s="347" t="s">
        <v>100</v>
      </c>
      <c r="AC180" s="323"/>
      <c r="AD180" s="459">
        <f>AD181+AD192+AD206+AD199</f>
        <v>29493.8</v>
      </c>
      <c r="AE180" s="428">
        <f>AE181+AE192+AE206+AE199</f>
        <v>11681</v>
      </c>
      <c r="AF180" s="438">
        <f>AF181+AF192+AF206+AF199</f>
        <v>11717</v>
      </c>
      <c r="AG180" s="19"/>
      <c r="AH180" s="19"/>
      <c r="AI180" s="113"/>
    </row>
    <row r="181" spans="1:35" s="77" customFormat="1" ht="31.5" x14ac:dyDescent="0.25">
      <c r="A181" s="14"/>
      <c r="B181" s="63"/>
      <c r="C181" s="64"/>
      <c r="D181" s="64"/>
      <c r="E181" s="12"/>
      <c r="F181" s="78"/>
      <c r="G181" s="65"/>
      <c r="I181" s="15"/>
      <c r="J181" s="15"/>
      <c r="K181" s="15"/>
      <c r="L181" s="65"/>
      <c r="M181" s="15"/>
      <c r="N181" s="65"/>
      <c r="O181" s="30"/>
      <c r="P181" s="65"/>
      <c r="Q181" s="66"/>
      <c r="R181" s="16"/>
      <c r="S181" s="16"/>
      <c r="T181" s="16"/>
      <c r="U181" s="16"/>
      <c r="V181" s="16"/>
      <c r="W181" s="16"/>
      <c r="X181" s="299" t="s">
        <v>705</v>
      </c>
      <c r="Y181" s="295" t="s">
        <v>62</v>
      </c>
      <c r="Z181" s="296" t="s">
        <v>6</v>
      </c>
      <c r="AA181" s="296" t="s">
        <v>35</v>
      </c>
      <c r="AB181" s="348" t="s">
        <v>105</v>
      </c>
      <c r="AC181" s="314"/>
      <c r="AD181" s="459">
        <f>AD182+AD186</f>
        <v>415</v>
      </c>
      <c r="AE181" s="428">
        <f>AE182+AE186</f>
        <v>567</v>
      </c>
      <c r="AF181" s="438">
        <f>AF182+AF186</f>
        <v>567</v>
      </c>
      <c r="AG181" s="19"/>
      <c r="AH181" s="19"/>
      <c r="AI181" s="113"/>
    </row>
    <row r="182" spans="1:35" s="77" customFormat="1" ht="31.5" x14ac:dyDescent="0.25">
      <c r="A182" s="14"/>
      <c r="B182" s="63"/>
      <c r="C182" s="64"/>
      <c r="D182" s="64"/>
      <c r="E182" s="12"/>
      <c r="F182" s="78"/>
      <c r="G182" s="65"/>
      <c r="I182" s="15"/>
      <c r="J182" s="15"/>
      <c r="K182" s="15"/>
      <c r="L182" s="65"/>
      <c r="M182" s="15"/>
      <c r="N182" s="65"/>
      <c r="O182" s="30"/>
      <c r="P182" s="65"/>
      <c r="Q182" s="66"/>
      <c r="R182" s="16"/>
      <c r="S182" s="16"/>
      <c r="T182" s="16"/>
      <c r="U182" s="16"/>
      <c r="V182" s="16"/>
      <c r="W182" s="16"/>
      <c r="X182" s="200" t="s">
        <v>706</v>
      </c>
      <c r="Y182" s="295" t="s">
        <v>62</v>
      </c>
      <c r="Z182" s="296" t="s">
        <v>6</v>
      </c>
      <c r="AA182" s="296" t="s">
        <v>35</v>
      </c>
      <c r="AB182" s="348" t="s">
        <v>169</v>
      </c>
      <c r="AC182" s="314"/>
      <c r="AD182" s="459">
        <f t="shared" ref="AD182:AF184" si="34">AD183</f>
        <v>340</v>
      </c>
      <c r="AE182" s="428">
        <f t="shared" si="34"/>
        <v>340</v>
      </c>
      <c r="AF182" s="438">
        <f t="shared" si="34"/>
        <v>340</v>
      </c>
      <c r="AG182" s="19"/>
      <c r="AH182" s="19"/>
      <c r="AI182" s="113"/>
    </row>
    <row r="183" spans="1:35" s="77" customFormat="1" ht="31.5" x14ac:dyDescent="0.25">
      <c r="A183" s="14"/>
      <c r="B183" s="63"/>
      <c r="C183" s="64"/>
      <c r="D183" s="64"/>
      <c r="E183" s="12"/>
      <c r="F183" s="78"/>
      <c r="G183" s="65"/>
      <c r="I183" s="15"/>
      <c r="J183" s="15"/>
      <c r="K183" s="15"/>
      <c r="L183" s="65"/>
      <c r="M183" s="15"/>
      <c r="N183" s="65"/>
      <c r="O183" s="30"/>
      <c r="P183" s="65"/>
      <c r="Q183" s="66"/>
      <c r="R183" s="16"/>
      <c r="S183" s="16"/>
      <c r="T183" s="16"/>
      <c r="U183" s="16"/>
      <c r="V183" s="16"/>
      <c r="W183" s="16"/>
      <c r="X183" s="307" t="s">
        <v>736</v>
      </c>
      <c r="Y183" s="295" t="s">
        <v>62</v>
      </c>
      <c r="Z183" s="296" t="s">
        <v>6</v>
      </c>
      <c r="AA183" s="296" t="s">
        <v>35</v>
      </c>
      <c r="AB183" s="348" t="s">
        <v>550</v>
      </c>
      <c r="AC183" s="314"/>
      <c r="AD183" s="459">
        <f t="shared" si="34"/>
        <v>340</v>
      </c>
      <c r="AE183" s="428">
        <f t="shared" si="34"/>
        <v>340</v>
      </c>
      <c r="AF183" s="438">
        <f t="shared" si="34"/>
        <v>340</v>
      </c>
      <c r="AG183" s="19"/>
      <c r="AH183" s="19"/>
      <c r="AI183" s="113"/>
    </row>
    <row r="184" spans="1:35" s="77" customFormat="1" x14ac:dyDescent="0.25">
      <c r="A184" s="14"/>
      <c r="B184" s="63"/>
      <c r="C184" s="64"/>
      <c r="D184" s="64"/>
      <c r="E184" s="12"/>
      <c r="F184" s="78"/>
      <c r="G184" s="65"/>
      <c r="I184" s="15"/>
      <c r="J184" s="15"/>
      <c r="K184" s="15"/>
      <c r="L184" s="65"/>
      <c r="M184" s="15"/>
      <c r="N184" s="65"/>
      <c r="O184" s="30"/>
      <c r="P184" s="65"/>
      <c r="Q184" s="66"/>
      <c r="R184" s="16"/>
      <c r="S184" s="16"/>
      <c r="T184" s="16"/>
      <c r="U184" s="16"/>
      <c r="V184" s="16"/>
      <c r="W184" s="16"/>
      <c r="X184" s="446" t="s">
        <v>118</v>
      </c>
      <c r="Y184" s="308" t="s">
        <v>62</v>
      </c>
      <c r="Z184" s="296" t="s">
        <v>6</v>
      </c>
      <c r="AA184" s="296" t="s">
        <v>35</v>
      </c>
      <c r="AB184" s="348" t="s">
        <v>550</v>
      </c>
      <c r="AC184" s="373" t="s">
        <v>36</v>
      </c>
      <c r="AD184" s="459">
        <f t="shared" si="34"/>
        <v>340</v>
      </c>
      <c r="AE184" s="428">
        <f t="shared" si="34"/>
        <v>340</v>
      </c>
      <c r="AF184" s="438">
        <f t="shared" si="34"/>
        <v>340</v>
      </c>
      <c r="AG184" s="19"/>
      <c r="AH184" s="19"/>
      <c r="AI184" s="113"/>
    </row>
    <row r="185" spans="1:35" s="77" customFormat="1" ht="31.5" x14ac:dyDescent="0.25">
      <c r="A185" s="14"/>
      <c r="B185" s="63"/>
      <c r="C185" s="64"/>
      <c r="D185" s="64"/>
      <c r="E185" s="12"/>
      <c r="F185" s="78"/>
      <c r="G185" s="65"/>
      <c r="I185" s="15"/>
      <c r="J185" s="15"/>
      <c r="K185" s="15"/>
      <c r="L185" s="65"/>
      <c r="M185" s="15"/>
      <c r="N185" s="65"/>
      <c r="O185" s="30"/>
      <c r="P185" s="65"/>
      <c r="Q185" s="66"/>
      <c r="R185" s="16"/>
      <c r="S185" s="16"/>
      <c r="T185" s="16"/>
      <c r="U185" s="16"/>
      <c r="V185" s="16"/>
      <c r="W185" s="16"/>
      <c r="X185" s="446" t="s">
        <v>51</v>
      </c>
      <c r="Y185" s="308" t="s">
        <v>62</v>
      </c>
      <c r="Z185" s="296" t="s">
        <v>6</v>
      </c>
      <c r="AA185" s="296" t="s">
        <v>35</v>
      </c>
      <c r="AB185" s="348" t="s">
        <v>550</v>
      </c>
      <c r="AC185" s="373" t="s">
        <v>64</v>
      </c>
      <c r="AD185" s="459">
        <f>340</f>
        <v>340</v>
      </c>
      <c r="AE185" s="428">
        <v>340</v>
      </c>
      <c r="AF185" s="438">
        <v>340</v>
      </c>
      <c r="AG185" s="19"/>
      <c r="AH185" s="19"/>
      <c r="AI185" s="113"/>
    </row>
    <row r="186" spans="1:35" s="215" customFormat="1" ht="47.25" x14ac:dyDescent="0.25">
      <c r="A186" s="210"/>
      <c r="B186" s="211"/>
      <c r="C186" s="212"/>
      <c r="D186" s="212"/>
      <c r="E186" s="213"/>
      <c r="F186" s="214"/>
      <c r="G186" s="193"/>
      <c r="I186" s="216"/>
      <c r="J186" s="216"/>
      <c r="K186" s="216"/>
      <c r="L186" s="193"/>
      <c r="M186" s="216"/>
      <c r="N186" s="193"/>
      <c r="O186" s="217"/>
      <c r="P186" s="193"/>
      <c r="Q186" s="218"/>
      <c r="R186" s="219"/>
      <c r="S186" s="219"/>
      <c r="T186" s="219"/>
      <c r="U186" s="219"/>
      <c r="V186" s="219"/>
      <c r="W186" s="219"/>
      <c r="X186" s="294" t="s">
        <v>708</v>
      </c>
      <c r="Y186" s="308" t="s">
        <v>62</v>
      </c>
      <c r="Z186" s="296" t="s">
        <v>6</v>
      </c>
      <c r="AA186" s="296" t="s">
        <v>35</v>
      </c>
      <c r="AB186" s="348" t="s">
        <v>551</v>
      </c>
      <c r="AC186" s="314"/>
      <c r="AD186" s="459">
        <f t="shared" ref="AD186:AF188" si="35">AD187</f>
        <v>75</v>
      </c>
      <c r="AE186" s="428">
        <f t="shared" si="35"/>
        <v>227</v>
      </c>
      <c r="AF186" s="438">
        <f t="shared" si="35"/>
        <v>227</v>
      </c>
      <c r="AG186" s="220"/>
      <c r="AH186" s="220"/>
      <c r="AI186" s="221"/>
    </row>
    <row r="187" spans="1:35" s="215" customFormat="1" ht="35.25" customHeight="1" x14ac:dyDescent="0.25">
      <c r="A187" s="210"/>
      <c r="B187" s="211"/>
      <c r="C187" s="212"/>
      <c r="D187" s="212"/>
      <c r="E187" s="213"/>
      <c r="F187" s="214"/>
      <c r="G187" s="193"/>
      <c r="I187" s="216"/>
      <c r="J187" s="216"/>
      <c r="K187" s="216"/>
      <c r="L187" s="193"/>
      <c r="M187" s="216"/>
      <c r="N187" s="193"/>
      <c r="O187" s="217"/>
      <c r="P187" s="193"/>
      <c r="Q187" s="218"/>
      <c r="R187" s="219"/>
      <c r="S187" s="219"/>
      <c r="T187" s="219"/>
      <c r="U187" s="219"/>
      <c r="V187" s="219"/>
      <c r="W187" s="219"/>
      <c r="X187" s="294" t="s">
        <v>736</v>
      </c>
      <c r="Y187" s="308" t="s">
        <v>62</v>
      </c>
      <c r="Z187" s="296" t="s">
        <v>6</v>
      </c>
      <c r="AA187" s="296" t="s">
        <v>35</v>
      </c>
      <c r="AB187" s="348" t="s">
        <v>552</v>
      </c>
      <c r="AC187" s="314"/>
      <c r="AD187" s="459">
        <f>AD188+AD190</f>
        <v>75</v>
      </c>
      <c r="AE187" s="459">
        <f>AE188+AE190</f>
        <v>227</v>
      </c>
      <c r="AF187" s="459">
        <f>AF188+AF190</f>
        <v>227</v>
      </c>
      <c r="AG187" s="220"/>
      <c r="AH187" s="220"/>
      <c r="AI187" s="221"/>
    </row>
    <row r="188" spans="1:35" s="215" customFormat="1" x14ac:dyDescent="0.25">
      <c r="A188" s="210"/>
      <c r="B188" s="211"/>
      <c r="C188" s="212"/>
      <c r="D188" s="212"/>
      <c r="E188" s="213"/>
      <c r="F188" s="214"/>
      <c r="G188" s="193"/>
      <c r="I188" s="216"/>
      <c r="J188" s="216"/>
      <c r="K188" s="216"/>
      <c r="L188" s="193"/>
      <c r="M188" s="216"/>
      <c r="N188" s="193"/>
      <c r="O188" s="217"/>
      <c r="P188" s="193"/>
      <c r="Q188" s="218"/>
      <c r="R188" s="219"/>
      <c r="S188" s="219"/>
      <c r="T188" s="219"/>
      <c r="U188" s="219"/>
      <c r="V188" s="219"/>
      <c r="W188" s="219"/>
      <c r="X188" s="294" t="s">
        <v>118</v>
      </c>
      <c r="Y188" s="308" t="s">
        <v>62</v>
      </c>
      <c r="Z188" s="296" t="s">
        <v>6</v>
      </c>
      <c r="AA188" s="296" t="s">
        <v>35</v>
      </c>
      <c r="AB188" s="348" t="s">
        <v>552</v>
      </c>
      <c r="AC188" s="314" t="s">
        <v>36</v>
      </c>
      <c r="AD188" s="459">
        <f t="shared" si="35"/>
        <v>0</v>
      </c>
      <c r="AE188" s="428">
        <f t="shared" si="35"/>
        <v>227</v>
      </c>
      <c r="AF188" s="438">
        <f t="shared" si="35"/>
        <v>227</v>
      </c>
      <c r="AG188" s="220"/>
      <c r="AH188" s="220"/>
      <c r="AI188" s="221"/>
    </row>
    <row r="189" spans="1:35" s="215" customFormat="1" ht="31.5" x14ac:dyDescent="0.25">
      <c r="A189" s="210"/>
      <c r="B189" s="211"/>
      <c r="C189" s="212"/>
      <c r="D189" s="212"/>
      <c r="E189" s="213"/>
      <c r="F189" s="214"/>
      <c r="G189" s="193"/>
      <c r="I189" s="216"/>
      <c r="J189" s="216"/>
      <c r="K189" s="216"/>
      <c r="L189" s="193"/>
      <c r="M189" s="216"/>
      <c r="N189" s="193"/>
      <c r="O189" s="217"/>
      <c r="P189" s="193"/>
      <c r="Q189" s="218"/>
      <c r="R189" s="219"/>
      <c r="S189" s="219"/>
      <c r="T189" s="219"/>
      <c r="U189" s="219"/>
      <c r="V189" s="219"/>
      <c r="W189" s="219"/>
      <c r="X189" s="294" t="s">
        <v>51</v>
      </c>
      <c r="Y189" s="308" t="s">
        <v>62</v>
      </c>
      <c r="Z189" s="296" t="s">
        <v>6</v>
      </c>
      <c r="AA189" s="296" t="s">
        <v>35</v>
      </c>
      <c r="AB189" s="348" t="s">
        <v>552</v>
      </c>
      <c r="AC189" s="314" t="s">
        <v>64</v>
      </c>
      <c r="AD189" s="459">
        <f>227-100-75-32-20</f>
        <v>0</v>
      </c>
      <c r="AE189" s="428">
        <v>227</v>
      </c>
      <c r="AF189" s="438">
        <v>227</v>
      </c>
      <c r="AG189" s="220"/>
      <c r="AH189" s="220"/>
      <c r="AI189" s="221"/>
    </row>
    <row r="190" spans="1:35" s="215" customFormat="1" ht="31.5" x14ac:dyDescent="0.25">
      <c r="A190" s="210"/>
      <c r="B190" s="211"/>
      <c r="C190" s="212"/>
      <c r="D190" s="212"/>
      <c r="E190" s="213"/>
      <c r="F190" s="214"/>
      <c r="G190" s="193"/>
      <c r="I190" s="216"/>
      <c r="J190" s="216"/>
      <c r="K190" s="216"/>
      <c r="L190" s="193"/>
      <c r="M190" s="216"/>
      <c r="N190" s="193"/>
      <c r="O190" s="217"/>
      <c r="P190" s="193"/>
      <c r="Q190" s="218"/>
      <c r="R190" s="219"/>
      <c r="S190" s="219"/>
      <c r="T190" s="219"/>
      <c r="U190" s="219"/>
      <c r="V190" s="219"/>
      <c r="W190" s="219"/>
      <c r="X190" s="294" t="s">
        <v>59</v>
      </c>
      <c r="Y190" s="308" t="s">
        <v>62</v>
      </c>
      <c r="Z190" s="296" t="s">
        <v>6</v>
      </c>
      <c r="AA190" s="296" t="s">
        <v>35</v>
      </c>
      <c r="AB190" s="348" t="s">
        <v>552</v>
      </c>
      <c r="AC190" s="314" t="s">
        <v>382</v>
      </c>
      <c r="AD190" s="459">
        <f>AD191</f>
        <v>75</v>
      </c>
      <c r="AE190" s="459">
        <f>AE191</f>
        <v>0</v>
      </c>
      <c r="AF190" s="459">
        <f>AF191</f>
        <v>0</v>
      </c>
      <c r="AG190" s="220"/>
      <c r="AH190" s="220"/>
      <c r="AI190" s="221"/>
    </row>
    <row r="191" spans="1:35" s="215" customFormat="1" x14ac:dyDescent="0.25">
      <c r="A191" s="210"/>
      <c r="B191" s="211"/>
      <c r="C191" s="212"/>
      <c r="D191" s="212"/>
      <c r="E191" s="213"/>
      <c r="F191" s="214"/>
      <c r="G191" s="193"/>
      <c r="I191" s="216"/>
      <c r="J191" s="216"/>
      <c r="K191" s="216"/>
      <c r="L191" s="193"/>
      <c r="M191" s="216"/>
      <c r="N191" s="193"/>
      <c r="O191" s="217"/>
      <c r="P191" s="193"/>
      <c r="Q191" s="218"/>
      <c r="R191" s="219"/>
      <c r="S191" s="219"/>
      <c r="T191" s="219"/>
      <c r="U191" s="219"/>
      <c r="V191" s="219"/>
      <c r="W191" s="219"/>
      <c r="X191" s="294" t="s">
        <v>60</v>
      </c>
      <c r="Y191" s="308" t="s">
        <v>62</v>
      </c>
      <c r="Z191" s="296" t="s">
        <v>6</v>
      </c>
      <c r="AA191" s="296" t="s">
        <v>35</v>
      </c>
      <c r="AB191" s="348" t="s">
        <v>552</v>
      </c>
      <c r="AC191" s="314" t="s">
        <v>383</v>
      </c>
      <c r="AD191" s="459">
        <v>75</v>
      </c>
      <c r="AE191" s="428">
        <v>0</v>
      </c>
      <c r="AF191" s="438">
        <v>0</v>
      </c>
      <c r="AG191" s="220"/>
      <c r="AH191" s="220"/>
      <c r="AI191" s="221"/>
    </row>
    <row r="192" spans="1:35" s="77" customFormat="1" ht="31.5" x14ac:dyDescent="0.25">
      <c r="A192" s="14"/>
      <c r="B192" s="63"/>
      <c r="C192" s="64"/>
      <c r="D192" s="64"/>
      <c r="E192" s="12"/>
      <c r="F192" s="78"/>
      <c r="G192" s="65"/>
      <c r="H192" s="65"/>
      <c r="I192" s="65"/>
      <c r="J192" s="65"/>
      <c r="K192" s="65"/>
      <c r="L192" s="58"/>
      <c r="M192" s="65"/>
      <c r="N192" s="58"/>
      <c r="O192" s="65"/>
      <c r="P192" s="65"/>
      <c r="Q192" s="66"/>
      <c r="R192" s="16"/>
      <c r="S192" s="16"/>
      <c r="T192" s="16"/>
      <c r="U192" s="16"/>
      <c r="V192" s="16"/>
      <c r="W192" s="16"/>
      <c r="X192" s="299" t="s">
        <v>352</v>
      </c>
      <c r="Y192" s="295" t="s">
        <v>62</v>
      </c>
      <c r="Z192" s="296" t="s">
        <v>6</v>
      </c>
      <c r="AA192" s="296" t="s">
        <v>35</v>
      </c>
      <c r="AB192" s="348" t="s">
        <v>102</v>
      </c>
      <c r="AC192" s="297"/>
      <c r="AD192" s="459">
        <f t="shared" ref="AD192:AF193" si="36">AD193</f>
        <v>557.1</v>
      </c>
      <c r="AE192" s="428">
        <f t="shared" si="36"/>
        <v>694</v>
      </c>
      <c r="AF192" s="438">
        <f t="shared" si="36"/>
        <v>694</v>
      </c>
      <c r="AG192" s="19"/>
      <c r="AH192" s="19"/>
      <c r="AI192" s="113"/>
    </row>
    <row r="193" spans="1:35" s="77" customFormat="1" ht="31.5" x14ac:dyDescent="0.25">
      <c r="A193" s="14"/>
      <c r="B193" s="63"/>
      <c r="C193" s="64"/>
      <c r="D193" s="64"/>
      <c r="E193" s="12"/>
      <c r="F193" s="78"/>
      <c r="G193" s="65"/>
      <c r="H193" s="65"/>
      <c r="I193" s="65"/>
      <c r="J193" s="65"/>
      <c r="K193" s="65"/>
      <c r="L193" s="58"/>
      <c r="M193" s="65"/>
      <c r="N193" s="58"/>
      <c r="O193" s="65"/>
      <c r="P193" s="65"/>
      <c r="Q193" s="66"/>
      <c r="R193" s="16"/>
      <c r="S193" s="16"/>
      <c r="T193" s="16"/>
      <c r="U193" s="16"/>
      <c r="V193" s="16"/>
      <c r="W193" s="16"/>
      <c r="X193" s="307" t="s">
        <v>557</v>
      </c>
      <c r="Y193" s="295" t="s">
        <v>62</v>
      </c>
      <c r="Z193" s="296" t="s">
        <v>6</v>
      </c>
      <c r="AA193" s="296" t="s">
        <v>35</v>
      </c>
      <c r="AB193" s="348" t="s">
        <v>123</v>
      </c>
      <c r="AC193" s="314"/>
      <c r="AD193" s="459">
        <f t="shared" si="36"/>
        <v>557.1</v>
      </c>
      <c r="AE193" s="428">
        <f t="shared" si="36"/>
        <v>694</v>
      </c>
      <c r="AF193" s="438">
        <f t="shared" si="36"/>
        <v>694</v>
      </c>
      <c r="AG193" s="19"/>
      <c r="AH193" s="19"/>
      <c r="AI193" s="113"/>
    </row>
    <row r="194" spans="1:35" s="77" customFormat="1" ht="31.5" x14ac:dyDescent="0.25">
      <c r="A194" s="14"/>
      <c r="B194" s="63"/>
      <c r="C194" s="64"/>
      <c r="D194" s="64"/>
      <c r="E194" s="12"/>
      <c r="F194" s="78"/>
      <c r="G194" s="65"/>
      <c r="H194" s="65"/>
      <c r="I194" s="65"/>
      <c r="J194" s="65"/>
      <c r="K194" s="65"/>
      <c r="L194" s="58"/>
      <c r="M194" s="65"/>
      <c r="N194" s="58"/>
      <c r="O194" s="65"/>
      <c r="P194" s="65"/>
      <c r="Q194" s="66"/>
      <c r="R194" s="16"/>
      <c r="S194" s="16"/>
      <c r="T194" s="16"/>
      <c r="U194" s="16"/>
      <c r="V194" s="16"/>
      <c r="W194" s="16"/>
      <c r="X194" s="294" t="s">
        <v>737</v>
      </c>
      <c r="Y194" s="295" t="s">
        <v>62</v>
      </c>
      <c r="Z194" s="296" t="s">
        <v>6</v>
      </c>
      <c r="AA194" s="296" t="s">
        <v>35</v>
      </c>
      <c r="AB194" s="348" t="s">
        <v>171</v>
      </c>
      <c r="AC194" s="297"/>
      <c r="AD194" s="459">
        <f>AD195+AD197</f>
        <v>557.1</v>
      </c>
      <c r="AE194" s="428">
        <f>AE195+AE197</f>
        <v>694</v>
      </c>
      <c r="AF194" s="438">
        <f>AF195+AF197</f>
        <v>694</v>
      </c>
      <c r="AG194" s="19"/>
      <c r="AH194" s="19"/>
      <c r="AI194" s="113"/>
    </row>
    <row r="195" spans="1:35" s="77" customFormat="1" x14ac:dyDescent="0.25">
      <c r="A195" s="14"/>
      <c r="B195" s="63"/>
      <c r="C195" s="64"/>
      <c r="D195" s="64"/>
      <c r="E195" s="12"/>
      <c r="F195" s="78"/>
      <c r="G195" s="65"/>
      <c r="H195" s="65"/>
      <c r="I195" s="65"/>
      <c r="J195" s="65"/>
      <c r="K195" s="65"/>
      <c r="L195" s="58"/>
      <c r="M195" s="65"/>
      <c r="N195" s="58"/>
      <c r="O195" s="65"/>
      <c r="P195" s="65"/>
      <c r="Q195" s="66"/>
      <c r="R195" s="16"/>
      <c r="S195" s="16"/>
      <c r="T195" s="16"/>
      <c r="U195" s="16"/>
      <c r="V195" s="16"/>
      <c r="W195" s="16"/>
      <c r="X195" s="294" t="s">
        <v>118</v>
      </c>
      <c r="Y195" s="295" t="s">
        <v>62</v>
      </c>
      <c r="Z195" s="296" t="s">
        <v>6</v>
      </c>
      <c r="AA195" s="296" t="s">
        <v>35</v>
      </c>
      <c r="AB195" s="348" t="s">
        <v>171</v>
      </c>
      <c r="AC195" s="314" t="s">
        <v>36</v>
      </c>
      <c r="AD195" s="459">
        <f>AD196</f>
        <v>307.10000000000002</v>
      </c>
      <c r="AE195" s="428">
        <f>AE196</f>
        <v>355.5</v>
      </c>
      <c r="AF195" s="438">
        <f>AF196</f>
        <v>435</v>
      </c>
      <c r="AG195" s="19"/>
      <c r="AH195" s="19"/>
      <c r="AI195" s="113"/>
    </row>
    <row r="196" spans="1:35" s="77" customFormat="1" ht="31.5" x14ac:dyDescent="0.25">
      <c r="A196" s="14"/>
      <c r="B196" s="63"/>
      <c r="C196" s="64"/>
      <c r="D196" s="64"/>
      <c r="E196" s="12"/>
      <c r="F196" s="78"/>
      <c r="G196" s="65"/>
      <c r="H196" s="65"/>
      <c r="I196" s="65"/>
      <c r="J196" s="65"/>
      <c r="K196" s="65"/>
      <c r="L196" s="58"/>
      <c r="M196" s="65"/>
      <c r="N196" s="58"/>
      <c r="O196" s="65"/>
      <c r="P196" s="65"/>
      <c r="Q196" s="66"/>
      <c r="R196" s="16"/>
      <c r="S196" s="16"/>
      <c r="T196" s="16"/>
      <c r="U196" s="16"/>
      <c r="V196" s="16"/>
      <c r="W196" s="16"/>
      <c r="X196" s="294" t="s">
        <v>51</v>
      </c>
      <c r="Y196" s="295" t="s">
        <v>62</v>
      </c>
      <c r="Z196" s="296" t="s">
        <v>6</v>
      </c>
      <c r="AA196" s="296" t="s">
        <v>35</v>
      </c>
      <c r="AB196" s="348" t="s">
        <v>171</v>
      </c>
      <c r="AC196" s="314" t="s">
        <v>64</v>
      </c>
      <c r="AD196" s="459">
        <f>355.5+4-27.4-25</f>
        <v>307.10000000000002</v>
      </c>
      <c r="AE196" s="428">
        <v>355.5</v>
      </c>
      <c r="AF196" s="438">
        <v>435</v>
      </c>
      <c r="AG196" s="19"/>
      <c r="AH196" s="19"/>
      <c r="AI196" s="113"/>
    </row>
    <row r="197" spans="1:35" s="77" customFormat="1" ht="31.5" x14ac:dyDescent="0.25">
      <c r="A197" s="14"/>
      <c r="B197" s="63"/>
      <c r="C197" s="64"/>
      <c r="D197" s="64"/>
      <c r="E197" s="12"/>
      <c r="F197" s="78"/>
      <c r="G197" s="65"/>
      <c r="H197" s="65"/>
      <c r="I197" s="65"/>
      <c r="J197" s="65"/>
      <c r="K197" s="65"/>
      <c r="L197" s="58"/>
      <c r="M197" s="65"/>
      <c r="N197" s="58"/>
      <c r="O197" s="65"/>
      <c r="P197" s="65"/>
      <c r="Q197" s="66"/>
      <c r="R197" s="16"/>
      <c r="S197" s="16"/>
      <c r="T197" s="16"/>
      <c r="U197" s="16"/>
      <c r="V197" s="16"/>
      <c r="W197" s="16"/>
      <c r="X197" s="294" t="s">
        <v>59</v>
      </c>
      <c r="Y197" s="295" t="s">
        <v>62</v>
      </c>
      <c r="Z197" s="296" t="s">
        <v>6</v>
      </c>
      <c r="AA197" s="296" t="s">
        <v>35</v>
      </c>
      <c r="AB197" s="348" t="s">
        <v>171</v>
      </c>
      <c r="AC197" s="314" t="s">
        <v>382</v>
      </c>
      <c r="AD197" s="459">
        <f>AD198</f>
        <v>250</v>
      </c>
      <c r="AE197" s="428">
        <f>AE198</f>
        <v>338.5</v>
      </c>
      <c r="AF197" s="438">
        <f>AF198</f>
        <v>259</v>
      </c>
      <c r="AG197" s="19"/>
      <c r="AH197" s="19"/>
      <c r="AI197" s="113"/>
    </row>
    <row r="198" spans="1:35" s="77" customFormat="1" x14ac:dyDescent="0.25">
      <c r="A198" s="14"/>
      <c r="B198" s="63"/>
      <c r="C198" s="64"/>
      <c r="D198" s="64"/>
      <c r="E198" s="12"/>
      <c r="F198" s="78"/>
      <c r="G198" s="65"/>
      <c r="H198" s="65"/>
      <c r="I198" s="65"/>
      <c r="J198" s="65"/>
      <c r="K198" s="65"/>
      <c r="L198" s="58"/>
      <c r="M198" s="65"/>
      <c r="N198" s="58"/>
      <c r="O198" s="65"/>
      <c r="P198" s="65"/>
      <c r="Q198" s="66"/>
      <c r="R198" s="16"/>
      <c r="S198" s="16"/>
      <c r="T198" s="16"/>
      <c r="U198" s="16"/>
      <c r="V198" s="16"/>
      <c r="W198" s="16"/>
      <c r="X198" s="294" t="s">
        <v>60</v>
      </c>
      <c r="Y198" s="295" t="s">
        <v>62</v>
      </c>
      <c r="Z198" s="296" t="s">
        <v>6</v>
      </c>
      <c r="AA198" s="296" t="s">
        <v>35</v>
      </c>
      <c r="AB198" s="348" t="s">
        <v>171</v>
      </c>
      <c r="AC198" s="314" t="s">
        <v>383</v>
      </c>
      <c r="AD198" s="459">
        <f>338.5-88.5</f>
        <v>250</v>
      </c>
      <c r="AE198" s="428">
        <v>338.5</v>
      </c>
      <c r="AF198" s="438">
        <v>259</v>
      </c>
      <c r="AG198" s="19"/>
      <c r="AH198" s="19"/>
      <c r="AI198" s="113"/>
    </row>
    <row r="199" spans="1:35" s="77" customFormat="1" ht="31.5" x14ac:dyDescent="0.25">
      <c r="A199" s="14"/>
      <c r="B199" s="63"/>
      <c r="C199" s="64"/>
      <c r="D199" s="64"/>
      <c r="E199" s="12"/>
      <c r="F199" s="78"/>
      <c r="G199" s="65"/>
      <c r="H199" s="65"/>
      <c r="I199" s="65"/>
      <c r="J199" s="65"/>
      <c r="K199" s="65"/>
      <c r="L199" s="58"/>
      <c r="M199" s="65"/>
      <c r="N199" s="58"/>
      <c r="O199" s="65"/>
      <c r="P199" s="65"/>
      <c r="Q199" s="66"/>
      <c r="R199" s="16"/>
      <c r="S199" s="16"/>
      <c r="T199" s="16"/>
      <c r="U199" s="16"/>
      <c r="V199" s="16"/>
      <c r="W199" s="16"/>
      <c r="X199" s="294" t="s">
        <v>558</v>
      </c>
      <c r="Y199" s="295" t="s">
        <v>62</v>
      </c>
      <c r="Z199" s="296" t="s">
        <v>6</v>
      </c>
      <c r="AA199" s="296" t="s">
        <v>35</v>
      </c>
      <c r="AB199" s="348" t="s">
        <v>106</v>
      </c>
      <c r="AC199" s="314"/>
      <c r="AD199" s="459">
        <f t="shared" ref="AD199:AF200" si="37">AD200</f>
        <v>870</v>
      </c>
      <c r="AE199" s="428">
        <f t="shared" si="37"/>
        <v>770</v>
      </c>
      <c r="AF199" s="438">
        <f t="shared" si="37"/>
        <v>770</v>
      </c>
      <c r="AG199" s="19"/>
      <c r="AH199" s="19"/>
      <c r="AI199" s="113"/>
    </row>
    <row r="200" spans="1:35" s="77" customFormat="1" ht="31.5" x14ac:dyDescent="0.25">
      <c r="A200" s="14"/>
      <c r="B200" s="63"/>
      <c r="C200" s="64"/>
      <c r="D200" s="64"/>
      <c r="E200" s="12"/>
      <c r="F200" s="78"/>
      <c r="G200" s="65"/>
      <c r="H200" s="65"/>
      <c r="I200" s="65"/>
      <c r="J200" s="65"/>
      <c r="K200" s="65"/>
      <c r="L200" s="58"/>
      <c r="M200" s="65"/>
      <c r="N200" s="58"/>
      <c r="O200" s="65"/>
      <c r="P200" s="65"/>
      <c r="Q200" s="66"/>
      <c r="R200" s="16"/>
      <c r="S200" s="16"/>
      <c r="T200" s="16"/>
      <c r="U200" s="16"/>
      <c r="V200" s="16"/>
      <c r="W200" s="16"/>
      <c r="X200" s="294" t="s">
        <v>559</v>
      </c>
      <c r="Y200" s="295" t="s">
        <v>62</v>
      </c>
      <c r="Z200" s="296" t="s">
        <v>6</v>
      </c>
      <c r="AA200" s="296" t="s">
        <v>35</v>
      </c>
      <c r="AB200" s="348" t="s">
        <v>560</v>
      </c>
      <c r="AC200" s="314"/>
      <c r="AD200" s="459">
        <f t="shared" si="37"/>
        <v>870</v>
      </c>
      <c r="AE200" s="428">
        <f t="shared" si="37"/>
        <v>770</v>
      </c>
      <c r="AF200" s="438">
        <f t="shared" si="37"/>
        <v>770</v>
      </c>
      <c r="AG200" s="19"/>
      <c r="AH200" s="19"/>
      <c r="AI200" s="113"/>
    </row>
    <row r="201" spans="1:35" s="77" customFormat="1" ht="31.5" x14ac:dyDescent="0.25">
      <c r="A201" s="14"/>
      <c r="B201" s="63"/>
      <c r="C201" s="64"/>
      <c r="D201" s="64"/>
      <c r="E201" s="12"/>
      <c r="F201" s="78"/>
      <c r="G201" s="65"/>
      <c r="H201" s="65"/>
      <c r="I201" s="65"/>
      <c r="J201" s="65"/>
      <c r="K201" s="65"/>
      <c r="L201" s="58"/>
      <c r="M201" s="65"/>
      <c r="N201" s="58"/>
      <c r="O201" s="65"/>
      <c r="P201" s="65"/>
      <c r="Q201" s="66"/>
      <c r="R201" s="16"/>
      <c r="S201" s="16"/>
      <c r="T201" s="16"/>
      <c r="U201" s="16"/>
      <c r="V201" s="16"/>
      <c r="W201" s="16"/>
      <c r="X201" s="294" t="s">
        <v>170</v>
      </c>
      <c r="Y201" s="295" t="s">
        <v>62</v>
      </c>
      <c r="Z201" s="296" t="s">
        <v>6</v>
      </c>
      <c r="AA201" s="296" t="s">
        <v>35</v>
      </c>
      <c r="AB201" s="348" t="s">
        <v>561</v>
      </c>
      <c r="AC201" s="314"/>
      <c r="AD201" s="459">
        <f>AD204+AD202</f>
        <v>870</v>
      </c>
      <c r="AE201" s="459">
        <f>AE204+AE202</f>
        <v>770</v>
      </c>
      <c r="AF201" s="459">
        <f>AF204+AF202</f>
        <v>770</v>
      </c>
      <c r="AG201" s="19"/>
      <c r="AH201" s="19"/>
      <c r="AI201" s="113"/>
    </row>
    <row r="202" spans="1:35" s="77" customFormat="1" x14ac:dyDescent="0.25">
      <c r="A202" s="14"/>
      <c r="B202" s="63"/>
      <c r="C202" s="64"/>
      <c r="D202" s="64"/>
      <c r="E202" s="12"/>
      <c r="F202" s="78"/>
      <c r="G202" s="65"/>
      <c r="H202" s="65"/>
      <c r="I202" s="65"/>
      <c r="J202" s="65"/>
      <c r="K202" s="65"/>
      <c r="L202" s="58"/>
      <c r="M202" s="65"/>
      <c r="N202" s="58"/>
      <c r="O202" s="65"/>
      <c r="P202" s="65"/>
      <c r="Q202" s="66"/>
      <c r="R202" s="16"/>
      <c r="S202" s="16"/>
      <c r="T202" s="16"/>
      <c r="U202" s="16"/>
      <c r="V202" s="16"/>
      <c r="W202" s="16"/>
      <c r="X202" s="294" t="s">
        <v>118</v>
      </c>
      <c r="Y202" s="295" t="s">
        <v>62</v>
      </c>
      <c r="Z202" s="296" t="s">
        <v>6</v>
      </c>
      <c r="AA202" s="296" t="s">
        <v>35</v>
      </c>
      <c r="AB202" s="348" t="s">
        <v>561</v>
      </c>
      <c r="AC202" s="314" t="s">
        <v>36</v>
      </c>
      <c r="AD202" s="459">
        <f>AD203</f>
        <v>100</v>
      </c>
      <c r="AE202" s="459">
        <f>AE203</f>
        <v>0</v>
      </c>
      <c r="AF202" s="459">
        <f>AF203</f>
        <v>0</v>
      </c>
      <c r="AG202" s="19"/>
      <c r="AH202" s="19"/>
      <c r="AI202" s="113"/>
    </row>
    <row r="203" spans="1:35" s="77" customFormat="1" ht="31.5" x14ac:dyDescent="0.25">
      <c r="A203" s="14"/>
      <c r="B203" s="63"/>
      <c r="C203" s="64"/>
      <c r="D203" s="64"/>
      <c r="E203" s="12"/>
      <c r="F203" s="78"/>
      <c r="G203" s="65"/>
      <c r="H203" s="65"/>
      <c r="I203" s="65"/>
      <c r="J203" s="65"/>
      <c r="K203" s="65"/>
      <c r="L203" s="58"/>
      <c r="M203" s="65"/>
      <c r="N203" s="58"/>
      <c r="O203" s="65"/>
      <c r="P203" s="65"/>
      <c r="Q203" s="66"/>
      <c r="R203" s="16"/>
      <c r="S203" s="16"/>
      <c r="T203" s="16"/>
      <c r="U203" s="16"/>
      <c r="V203" s="16"/>
      <c r="W203" s="16"/>
      <c r="X203" s="294" t="s">
        <v>51</v>
      </c>
      <c r="Y203" s="295" t="s">
        <v>62</v>
      </c>
      <c r="Z203" s="296" t="s">
        <v>6</v>
      </c>
      <c r="AA203" s="296" t="s">
        <v>35</v>
      </c>
      <c r="AB203" s="348" t="s">
        <v>561</v>
      </c>
      <c r="AC203" s="314" t="s">
        <v>64</v>
      </c>
      <c r="AD203" s="459">
        <f>100</f>
        <v>100</v>
      </c>
      <c r="AE203" s="428">
        <v>0</v>
      </c>
      <c r="AF203" s="438">
        <v>0</v>
      </c>
      <c r="AG203" s="19"/>
      <c r="AH203" s="19"/>
      <c r="AI203" s="113"/>
    </row>
    <row r="204" spans="1:35" s="77" customFormat="1" ht="31.5" x14ac:dyDescent="0.25">
      <c r="A204" s="14"/>
      <c r="B204" s="63"/>
      <c r="C204" s="64"/>
      <c r="D204" s="64"/>
      <c r="E204" s="12"/>
      <c r="F204" s="78"/>
      <c r="G204" s="65"/>
      <c r="H204" s="65"/>
      <c r="I204" s="65"/>
      <c r="J204" s="65"/>
      <c r="K204" s="65"/>
      <c r="L204" s="58"/>
      <c r="M204" s="65"/>
      <c r="N204" s="58"/>
      <c r="O204" s="65"/>
      <c r="P204" s="65"/>
      <c r="Q204" s="66"/>
      <c r="R204" s="16"/>
      <c r="S204" s="16"/>
      <c r="T204" s="16"/>
      <c r="U204" s="16"/>
      <c r="V204" s="16"/>
      <c r="W204" s="16"/>
      <c r="X204" s="294" t="s">
        <v>59</v>
      </c>
      <c r="Y204" s="295" t="s">
        <v>62</v>
      </c>
      <c r="Z204" s="296" t="s">
        <v>6</v>
      </c>
      <c r="AA204" s="296" t="s">
        <v>35</v>
      </c>
      <c r="AB204" s="348" t="s">
        <v>561</v>
      </c>
      <c r="AC204" s="314" t="s">
        <v>382</v>
      </c>
      <c r="AD204" s="459">
        <f>AD205</f>
        <v>770</v>
      </c>
      <c r="AE204" s="428">
        <f>AE205</f>
        <v>770</v>
      </c>
      <c r="AF204" s="438">
        <f>AF205</f>
        <v>770</v>
      </c>
      <c r="AG204" s="19"/>
      <c r="AH204" s="19"/>
      <c r="AI204" s="113"/>
    </row>
    <row r="205" spans="1:35" s="77" customFormat="1" x14ac:dyDescent="0.25">
      <c r="A205" s="14"/>
      <c r="B205" s="63"/>
      <c r="C205" s="64"/>
      <c r="D205" s="64"/>
      <c r="E205" s="12"/>
      <c r="F205" s="78"/>
      <c r="G205" s="65"/>
      <c r="H205" s="65"/>
      <c r="I205" s="65"/>
      <c r="J205" s="65"/>
      <c r="K205" s="65"/>
      <c r="L205" s="58"/>
      <c r="M205" s="65"/>
      <c r="N205" s="58"/>
      <c r="O205" s="65"/>
      <c r="P205" s="65"/>
      <c r="Q205" s="66"/>
      <c r="R205" s="16"/>
      <c r="S205" s="16"/>
      <c r="T205" s="16"/>
      <c r="U205" s="16"/>
      <c r="V205" s="16"/>
      <c r="W205" s="16"/>
      <c r="X205" s="294" t="s">
        <v>60</v>
      </c>
      <c r="Y205" s="295" t="s">
        <v>62</v>
      </c>
      <c r="Z205" s="296" t="s">
        <v>6</v>
      </c>
      <c r="AA205" s="296" t="s">
        <v>35</v>
      </c>
      <c r="AB205" s="348" t="s">
        <v>561</v>
      </c>
      <c r="AC205" s="314" t="s">
        <v>383</v>
      </c>
      <c r="AD205" s="459">
        <f>770</f>
        <v>770</v>
      </c>
      <c r="AE205" s="428">
        <v>770</v>
      </c>
      <c r="AF205" s="438">
        <v>770</v>
      </c>
      <c r="AG205" s="19"/>
      <c r="AH205" s="19"/>
      <c r="AI205" s="113"/>
    </row>
    <row r="206" spans="1:35" s="77" customFormat="1" x14ac:dyDescent="0.25">
      <c r="A206" s="14"/>
      <c r="B206" s="63"/>
      <c r="C206" s="64"/>
      <c r="D206" s="64"/>
      <c r="E206" s="12"/>
      <c r="F206" s="78"/>
      <c r="G206" s="65"/>
      <c r="H206" s="65"/>
      <c r="I206" s="65"/>
      <c r="J206" s="65"/>
      <c r="K206" s="65"/>
      <c r="L206" s="58"/>
      <c r="M206" s="65"/>
      <c r="N206" s="58"/>
      <c r="O206" s="65"/>
      <c r="P206" s="65"/>
      <c r="Q206" s="66"/>
      <c r="R206" s="16"/>
      <c r="S206" s="16"/>
      <c r="T206" s="16"/>
      <c r="U206" s="16"/>
      <c r="V206" s="16"/>
      <c r="W206" s="16"/>
      <c r="X206" s="307" t="s">
        <v>47</v>
      </c>
      <c r="Y206" s="295" t="s">
        <v>62</v>
      </c>
      <c r="Z206" s="296" t="s">
        <v>6</v>
      </c>
      <c r="AA206" s="296" t="s">
        <v>35</v>
      </c>
      <c r="AB206" s="348" t="s">
        <v>103</v>
      </c>
      <c r="AC206" s="314"/>
      <c r="AD206" s="459">
        <f t="shared" ref="AD206:AF207" si="38">AD207</f>
        <v>27651.7</v>
      </c>
      <c r="AE206" s="428">
        <f t="shared" si="38"/>
        <v>9650</v>
      </c>
      <c r="AF206" s="438">
        <f t="shared" si="38"/>
        <v>9686</v>
      </c>
      <c r="AG206" s="19"/>
      <c r="AH206" s="19"/>
      <c r="AI206" s="113"/>
    </row>
    <row r="207" spans="1:35" s="77" customFormat="1" ht="31.5" x14ac:dyDescent="0.25">
      <c r="A207" s="14"/>
      <c r="B207" s="63"/>
      <c r="C207" s="64"/>
      <c r="D207" s="64"/>
      <c r="E207" s="12"/>
      <c r="F207" s="78"/>
      <c r="G207" s="65"/>
      <c r="H207" s="65"/>
      <c r="I207" s="65"/>
      <c r="J207" s="65"/>
      <c r="K207" s="65"/>
      <c r="L207" s="58"/>
      <c r="M207" s="65"/>
      <c r="N207" s="58"/>
      <c r="O207" s="65"/>
      <c r="P207" s="65"/>
      <c r="Q207" s="66"/>
      <c r="R207" s="16"/>
      <c r="S207" s="16"/>
      <c r="T207" s="16"/>
      <c r="U207" s="16"/>
      <c r="V207" s="16"/>
      <c r="W207" s="16"/>
      <c r="X207" s="307" t="s">
        <v>267</v>
      </c>
      <c r="Y207" s="295" t="s">
        <v>62</v>
      </c>
      <c r="Z207" s="296" t="s">
        <v>6</v>
      </c>
      <c r="AA207" s="296" t="s">
        <v>35</v>
      </c>
      <c r="AB207" s="348" t="s">
        <v>346</v>
      </c>
      <c r="AC207" s="314"/>
      <c r="AD207" s="459">
        <f t="shared" si="38"/>
        <v>27651.7</v>
      </c>
      <c r="AE207" s="428">
        <f t="shared" si="38"/>
        <v>9650</v>
      </c>
      <c r="AF207" s="438">
        <f t="shared" si="38"/>
        <v>9686</v>
      </c>
      <c r="AG207" s="19"/>
      <c r="AH207" s="19"/>
      <c r="AI207" s="113"/>
    </row>
    <row r="208" spans="1:35" s="77" customFormat="1" x14ac:dyDescent="0.25">
      <c r="A208" s="14"/>
      <c r="B208" s="63"/>
      <c r="C208" s="64"/>
      <c r="D208" s="64"/>
      <c r="E208" s="12"/>
      <c r="F208" s="78"/>
      <c r="G208" s="65"/>
      <c r="H208" s="65"/>
      <c r="I208" s="65"/>
      <c r="J208" s="65"/>
      <c r="K208" s="65"/>
      <c r="L208" s="58"/>
      <c r="M208" s="65"/>
      <c r="N208" s="58"/>
      <c r="O208" s="65"/>
      <c r="P208" s="65"/>
      <c r="Q208" s="66"/>
      <c r="R208" s="16"/>
      <c r="S208" s="16"/>
      <c r="T208" s="16"/>
      <c r="U208" s="16"/>
      <c r="V208" s="16"/>
      <c r="W208" s="16"/>
      <c r="X208" s="307" t="s">
        <v>174</v>
      </c>
      <c r="Y208" s="295" t="s">
        <v>62</v>
      </c>
      <c r="Z208" s="296" t="s">
        <v>6</v>
      </c>
      <c r="AA208" s="296" t="s">
        <v>35</v>
      </c>
      <c r="AB208" s="348" t="s">
        <v>175</v>
      </c>
      <c r="AC208" s="314"/>
      <c r="AD208" s="459">
        <f>AD209+AD211</f>
        <v>27651.7</v>
      </c>
      <c r="AE208" s="428">
        <f>AE209+AE211</f>
        <v>9650</v>
      </c>
      <c r="AF208" s="438">
        <f>AF209+AF211</f>
        <v>9686</v>
      </c>
      <c r="AG208" s="19"/>
      <c r="AH208" s="19"/>
      <c r="AI208" s="113"/>
    </row>
    <row r="209" spans="1:36" s="77" customFormat="1" ht="47.25" x14ac:dyDescent="0.25">
      <c r="A209" s="14"/>
      <c r="B209" s="63"/>
      <c r="C209" s="64"/>
      <c r="D209" s="64"/>
      <c r="E209" s="12"/>
      <c r="F209" s="78"/>
      <c r="G209" s="65"/>
      <c r="H209" s="65"/>
      <c r="I209" s="65"/>
      <c r="J209" s="65"/>
      <c r="K209" s="65"/>
      <c r="L209" s="58"/>
      <c r="M209" s="65"/>
      <c r="N209" s="58"/>
      <c r="O209" s="65"/>
      <c r="P209" s="65"/>
      <c r="Q209" s="66"/>
      <c r="R209" s="16"/>
      <c r="S209" s="16"/>
      <c r="T209" s="16"/>
      <c r="U209" s="16"/>
      <c r="V209" s="16"/>
      <c r="W209" s="16"/>
      <c r="X209" s="294" t="s">
        <v>148</v>
      </c>
      <c r="Y209" s="295" t="s">
        <v>62</v>
      </c>
      <c r="Z209" s="296" t="s">
        <v>6</v>
      </c>
      <c r="AA209" s="296" t="s">
        <v>35</v>
      </c>
      <c r="AB209" s="348" t="s">
        <v>175</v>
      </c>
      <c r="AC209" s="314" t="s">
        <v>125</v>
      </c>
      <c r="AD209" s="459">
        <f>AD210</f>
        <v>25585.5</v>
      </c>
      <c r="AE209" s="428">
        <f>AE210</f>
        <v>7883.8</v>
      </c>
      <c r="AF209" s="438">
        <f>AF210</f>
        <v>7919.8</v>
      </c>
      <c r="AG209" s="19"/>
      <c r="AH209" s="19"/>
      <c r="AI209" s="113"/>
    </row>
    <row r="210" spans="1:36" s="77" customFormat="1" x14ac:dyDescent="0.25">
      <c r="A210" s="14"/>
      <c r="B210" s="63"/>
      <c r="C210" s="64"/>
      <c r="D210" s="64"/>
      <c r="E210" s="12"/>
      <c r="F210" s="78"/>
      <c r="G210" s="65"/>
      <c r="H210" s="65"/>
      <c r="I210" s="65"/>
      <c r="J210" s="65"/>
      <c r="K210" s="65"/>
      <c r="L210" s="58"/>
      <c r="M210" s="65"/>
      <c r="N210" s="58"/>
      <c r="O210" s="65"/>
      <c r="P210" s="65"/>
      <c r="Q210" s="66"/>
      <c r="R210" s="16"/>
      <c r="S210" s="16"/>
      <c r="T210" s="16"/>
      <c r="U210" s="16"/>
      <c r="V210" s="16"/>
      <c r="W210" s="16"/>
      <c r="X210" s="294" t="s">
        <v>67</v>
      </c>
      <c r="Y210" s="295" t="s">
        <v>62</v>
      </c>
      <c r="Z210" s="296" t="s">
        <v>6</v>
      </c>
      <c r="AA210" s="296" t="s">
        <v>35</v>
      </c>
      <c r="AB210" s="348" t="s">
        <v>175</v>
      </c>
      <c r="AC210" s="314" t="s">
        <v>126</v>
      </c>
      <c r="AD210" s="459">
        <f>25162.6+3+419.9</f>
        <v>25585.5</v>
      </c>
      <c r="AE210" s="428">
        <v>7883.8</v>
      </c>
      <c r="AF210" s="438">
        <v>7919.8</v>
      </c>
      <c r="AG210" s="19"/>
      <c r="AH210" s="19"/>
      <c r="AI210" s="708"/>
      <c r="AJ210" s="709"/>
    </row>
    <row r="211" spans="1:36" s="77" customFormat="1" x14ac:dyDescent="0.25">
      <c r="A211" s="14"/>
      <c r="B211" s="63"/>
      <c r="C211" s="64"/>
      <c r="D211" s="64"/>
      <c r="E211" s="12"/>
      <c r="F211" s="78"/>
      <c r="G211" s="65"/>
      <c r="I211" s="15"/>
      <c r="J211" s="15"/>
      <c r="K211" s="15"/>
      <c r="L211" s="65"/>
      <c r="M211" s="15"/>
      <c r="N211" s="65"/>
      <c r="O211" s="30"/>
      <c r="P211" s="65"/>
      <c r="Q211" s="66"/>
      <c r="R211" s="16"/>
      <c r="S211" s="16"/>
      <c r="T211" s="16"/>
      <c r="U211" s="16"/>
      <c r="V211" s="16"/>
      <c r="W211" s="16"/>
      <c r="X211" s="294" t="s">
        <v>118</v>
      </c>
      <c r="Y211" s="295" t="s">
        <v>62</v>
      </c>
      <c r="Z211" s="296" t="s">
        <v>6</v>
      </c>
      <c r="AA211" s="296" t="s">
        <v>35</v>
      </c>
      <c r="AB211" s="348" t="s">
        <v>175</v>
      </c>
      <c r="AC211" s="314" t="s">
        <v>36</v>
      </c>
      <c r="AD211" s="459">
        <f>AD212</f>
        <v>2066.1999999999998</v>
      </c>
      <c r="AE211" s="428">
        <f>AE212</f>
        <v>1766.2</v>
      </c>
      <c r="AF211" s="438">
        <f>AF212</f>
        <v>1766.2</v>
      </c>
      <c r="AG211" s="19"/>
      <c r="AH211" s="19"/>
      <c r="AI211" s="113"/>
    </row>
    <row r="212" spans="1:36" s="77" customFormat="1" ht="31.5" x14ac:dyDescent="0.25">
      <c r="A212" s="14"/>
      <c r="B212" s="63"/>
      <c r="C212" s="64"/>
      <c r="D212" s="64"/>
      <c r="E212" s="12"/>
      <c r="F212" s="78"/>
      <c r="G212" s="65"/>
      <c r="I212" s="15"/>
      <c r="J212" s="15"/>
      <c r="K212" s="15"/>
      <c r="L212" s="65"/>
      <c r="M212" s="15"/>
      <c r="N212" s="65"/>
      <c r="O212" s="30"/>
      <c r="P212" s="65"/>
      <c r="Q212" s="66"/>
      <c r="R212" s="16"/>
      <c r="S212" s="16"/>
      <c r="T212" s="16"/>
      <c r="U212" s="16"/>
      <c r="V212" s="16"/>
      <c r="W212" s="16"/>
      <c r="X212" s="294" t="s">
        <v>51</v>
      </c>
      <c r="Y212" s="295" t="s">
        <v>62</v>
      </c>
      <c r="Z212" s="296" t="s">
        <v>6</v>
      </c>
      <c r="AA212" s="296" t="s">
        <v>35</v>
      </c>
      <c r="AB212" s="348" t="s">
        <v>175</v>
      </c>
      <c r="AC212" s="314" t="s">
        <v>64</v>
      </c>
      <c r="AD212" s="459">
        <f>1766.2+300</f>
        <v>2066.1999999999998</v>
      </c>
      <c r="AE212" s="428">
        <v>1766.2</v>
      </c>
      <c r="AF212" s="438">
        <v>1766.2</v>
      </c>
      <c r="AG212" s="19"/>
      <c r="AH212" s="19"/>
      <c r="AI212" s="113"/>
    </row>
    <row r="213" spans="1:36" s="77" customFormat="1" ht="31.5" x14ac:dyDescent="0.25">
      <c r="A213" s="14"/>
      <c r="B213" s="63"/>
      <c r="C213" s="64"/>
      <c r="D213" s="64"/>
      <c r="E213" s="12"/>
      <c r="F213" s="78"/>
      <c r="G213" s="65"/>
      <c r="H213" s="65"/>
      <c r="I213" s="65"/>
      <c r="J213" s="65"/>
      <c r="K213" s="58"/>
      <c r="L213" s="65"/>
      <c r="M213" s="58"/>
      <c r="N213" s="65"/>
      <c r="O213" s="65"/>
      <c r="P213" s="66"/>
      <c r="Q213" s="16"/>
      <c r="R213" s="16"/>
      <c r="S213" s="16"/>
      <c r="T213" s="16"/>
      <c r="U213" s="16"/>
      <c r="V213" s="16"/>
      <c r="W213" s="16"/>
      <c r="X213" s="294" t="s">
        <v>149</v>
      </c>
      <c r="Y213" s="295" t="s">
        <v>62</v>
      </c>
      <c r="Z213" s="296" t="s">
        <v>6</v>
      </c>
      <c r="AA213" s="296">
        <v>14</v>
      </c>
      <c r="AB213" s="347"/>
      <c r="AC213" s="314"/>
      <c r="AD213" s="459">
        <f>AD214+AD224</f>
        <v>19889.2</v>
      </c>
      <c r="AE213" s="428">
        <f t="shared" ref="AD213:AF214" si="39">AE214</f>
        <v>12118.8</v>
      </c>
      <c r="AF213" s="438">
        <f t="shared" si="39"/>
        <v>10049.199999999999</v>
      </c>
      <c r="AG213" s="19"/>
      <c r="AH213" s="19"/>
      <c r="AI213" s="113"/>
    </row>
    <row r="214" spans="1:36" s="77" customFormat="1" ht="31.5" x14ac:dyDescent="0.25">
      <c r="A214" s="14"/>
      <c r="B214" s="63"/>
      <c r="C214" s="64"/>
      <c r="D214" s="64"/>
      <c r="E214" s="12"/>
      <c r="F214" s="78"/>
      <c r="G214" s="65"/>
      <c r="H214" s="15"/>
      <c r="I214" s="15"/>
      <c r="J214" s="15"/>
      <c r="K214" s="65"/>
      <c r="L214" s="15"/>
      <c r="M214" s="65"/>
      <c r="N214" s="30"/>
      <c r="O214" s="65"/>
      <c r="P214" s="66"/>
      <c r="Q214" s="16"/>
      <c r="R214" s="16"/>
      <c r="S214" s="16"/>
      <c r="T214" s="16"/>
      <c r="U214" s="16"/>
      <c r="V214" s="16"/>
      <c r="W214" s="16"/>
      <c r="X214" s="299" t="s">
        <v>159</v>
      </c>
      <c r="Y214" s="295" t="s">
        <v>62</v>
      </c>
      <c r="Z214" s="296" t="s">
        <v>6</v>
      </c>
      <c r="AA214" s="296">
        <v>14</v>
      </c>
      <c r="AB214" s="347" t="s">
        <v>100</v>
      </c>
      <c r="AC214" s="314"/>
      <c r="AD214" s="459">
        <f t="shared" si="39"/>
        <v>18739.2</v>
      </c>
      <c r="AE214" s="428">
        <f t="shared" si="39"/>
        <v>12118.8</v>
      </c>
      <c r="AF214" s="438">
        <f t="shared" si="39"/>
        <v>10049.199999999999</v>
      </c>
      <c r="AG214" s="19"/>
      <c r="AH214" s="19"/>
      <c r="AI214" s="113"/>
    </row>
    <row r="215" spans="1:36" s="77" customFormat="1" x14ac:dyDescent="0.25">
      <c r="A215" s="14"/>
      <c r="B215" s="63"/>
      <c r="C215" s="64"/>
      <c r="D215" s="64"/>
      <c r="E215" s="12"/>
      <c r="F215" s="78"/>
      <c r="G215" s="65"/>
      <c r="H215" s="15"/>
      <c r="I215" s="15"/>
      <c r="J215" s="15"/>
      <c r="K215" s="65"/>
      <c r="L215" s="15"/>
      <c r="M215" s="65"/>
      <c r="N215" s="30"/>
      <c r="O215" s="65"/>
      <c r="P215" s="66"/>
      <c r="Q215" s="16"/>
      <c r="R215" s="16"/>
      <c r="S215" s="16"/>
      <c r="T215" s="16"/>
      <c r="U215" s="16"/>
      <c r="V215" s="16"/>
      <c r="W215" s="16"/>
      <c r="X215" s="299" t="s">
        <v>160</v>
      </c>
      <c r="Y215" s="295" t="s">
        <v>62</v>
      </c>
      <c r="Z215" s="296" t="s">
        <v>6</v>
      </c>
      <c r="AA215" s="296">
        <v>14</v>
      </c>
      <c r="AB215" s="347" t="s">
        <v>104</v>
      </c>
      <c r="AC215" s="314"/>
      <c r="AD215" s="459">
        <f>AD216+AD220</f>
        <v>18739.2</v>
      </c>
      <c r="AE215" s="428">
        <f>AE216+AE220</f>
        <v>12118.8</v>
      </c>
      <c r="AF215" s="438">
        <f>AF216+AF220</f>
        <v>10049.199999999999</v>
      </c>
      <c r="AG215" s="19"/>
      <c r="AH215" s="19"/>
      <c r="AI215" s="113"/>
    </row>
    <row r="216" spans="1:36" s="77" customFormat="1" ht="31.5" x14ac:dyDescent="0.25">
      <c r="A216" s="14"/>
      <c r="B216" s="63"/>
      <c r="C216" s="64"/>
      <c r="D216" s="64"/>
      <c r="E216" s="12"/>
      <c r="F216" s="78"/>
      <c r="G216" s="65"/>
      <c r="H216" s="15"/>
      <c r="I216" s="15"/>
      <c r="J216" s="15"/>
      <c r="K216" s="65"/>
      <c r="L216" s="15"/>
      <c r="M216" s="65"/>
      <c r="N216" s="30"/>
      <c r="O216" s="65"/>
      <c r="P216" s="66"/>
      <c r="Q216" s="16"/>
      <c r="R216" s="16"/>
      <c r="S216" s="16"/>
      <c r="T216" s="16"/>
      <c r="U216" s="16"/>
      <c r="V216" s="16"/>
      <c r="W216" s="16"/>
      <c r="X216" s="307" t="s">
        <v>161</v>
      </c>
      <c r="Y216" s="295" t="s">
        <v>62</v>
      </c>
      <c r="Z216" s="296" t="s">
        <v>6</v>
      </c>
      <c r="AA216" s="296">
        <v>14</v>
      </c>
      <c r="AB216" s="348" t="s">
        <v>121</v>
      </c>
      <c r="AC216" s="323"/>
      <c r="AD216" s="459">
        <f>AD217</f>
        <v>464.79999999999995</v>
      </c>
      <c r="AE216" s="428">
        <f t="shared" ref="AD216:AF218" si="40">AE217</f>
        <v>64.8</v>
      </c>
      <c r="AF216" s="438">
        <f t="shared" si="40"/>
        <v>64.8</v>
      </c>
      <c r="AG216" s="19"/>
      <c r="AH216" s="19"/>
      <c r="AI216" s="113"/>
    </row>
    <row r="217" spans="1:36" s="77" customFormat="1" ht="31.5" x14ac:dyDescent="0.25">
      <c r="A217" s="14"/>
      <c r="B217" s="63"/>
      <c r="C217" s="64"/>
      <c r="D217" s="64"/>
      <c r="E217" s="12"/>
      <c r="F217" s="78"/>
      <c r="G217" s="65"/>
      <c r="H217" s="15"/>
      <c r="I217" s="15"/>
      <c r="J217" s="15"/>
      <c r="K217" s="65"/>
      <c r="L217" s="15"/>
      <c r="M217" s="65"/>
      <c r="N217" s="30"/>
      <c r="O217" s="65"/>
      <c r="P217" s="66"/>
      <c r="Q217" s="16"/>
      <c r="R217" s="16"/>
      <c r="S217" s="16"/>
      <c r="T217" s="16"/>
      <c r="U217" s="16"/>
      <c r="V217" s="16"/>
      <c r="W217" s="16"/>
      <c r="X217" s="307" t="s">
        <v>162</v>
      </c>
      <c r="Y217" s="295" t="s">
        <v>62</v>
      </c>
      <c r="Z217" s="296" t="s">
        <v>6</v>
      </c>
      <c r="AA217" s="296">
        <v>14</v>
      </c>
      <c r="AB217" s="348" t="s">
        <v>163</v>
      </c>
      <c r="AC217" s="323"/>
      <c r="AD217" s="459">
        <f>AD218</f>
        <v>464.79999999999995</v>
      </c>
      <c r="AE217" s="428">
        <f t="shared" si="40"/>
        <v>64.8</v>
      </c>
      <c r="AF217" s="438">
        <f t="shared" si="40"/>
        <v>64.8</v>
      </c>
      <c r="AG217" s="19"/>
      <c r="AH217" s="19"/>
      <c r="AI217" s="113"/>
    </row>
    <row r="218" spans="1:36" s="77" customFormat="1" ht="31.5" x14ac:dyDescent="0.25">
      <c r="A218" s="14"/>
      <c r="B218" s="63"/>
      <c r="C218" s="64"/>
      <c r="D218" s="64"/>
      <c r="E218" s="12"/>
      <c r="F218" s="78"/>
      <c r="G218" s="65"/>
      <c r="H218" s="15"/>
      <c r="I218" s="15"/>
      <c r="J218" s="15"/>
      <c r="K218" s="65"/>
      <c r="L218" s="15"/>
      <c r="M218" s="65"/>
      <c r="N218" s="30"/>
      <c r="O218" s="65"/>
      <c r="P218" s="66"/>
      <c r="Q218" s="16"/>
      <c r="R218" s="16"/>
      <c r="S218" s="16"/>
      <c r="T218" s="16"/>
      <c r="U218" s="16"/>
      <c r="V218" s="16"/>
      <c r="W218" s="16"/>
      <c r="X218" s="446" t="s">
        <v>59</v>
      </c>
      <c r="Y218" s="295" t="s">
        <v>62</v>
      </c>
      <c r="Z218" s="296" t="s">
        <v>6</v>
      </c>
      <c r="AA218" s="296">
        <v>14</v>
      </c>
      <c r="AB218" s="348" t="s">
        <v>163</v>
      </c>
      <c r="AC218" s="297">
        <v>600</v>
      </c>
      <c r="AD218" s="459">
        <f t="shared" si="40"/>
        <v>464.79999999999995</v>
      </c>
      <c r="AE218" s="428">
        <f t="shared" si="40"/>
        <v>64.8</v>
      </c>
      <c r="AF218" s="438">
        <f t="shared" si="40"/>
        <v>64.8</v>
      </c>
      <c r="AG218" s="19"/>
      <c r="AH218" s="19"/>
      <c r="AI218" s="113"/>
    </row>
    <row r="219" spans="1:36" s="77" customFormat="1" ht="47.25" x14ac:dyDescent="0.25">
      <c r="A219" s="14"/>
      <c r="B219" s="63"/>
      <c r="C219" s="64"/>
      <c r="D219" s="64"/>
      <c r="E219" s="12"/>
      <c r="F219" s="78"/>
      <c r="G219" s="65"/>
      <c r="H219" s="15"/>
      <c r="I219" s="15"/>
      <c r="J219" s="15"/>
      <c r="K219" s="65"/>
      <c r="L219" s="15"/>
      <c r="M219" s="65"/>
      <c r="N219" s="30"/>
      <c r="O219" s="65"/>
      <c r="P219" s="66"/>
      <c r="Q219" s="16"/>
      <c r="R219" s="16"/>
      <c r="S219" s="16"/>
      <c r="T219" s="16"/>
      <c r="U219" s="16"/>
      <c r="V219" s="16"/>
      <c r="W219" s="16"/>
      <c r="X219" s="446" t="s">
        <v>359</v>
      </c>
      <c r="Y219" s="295" t="s">
        <v>62</v>
      </c>
      <c r="Z219" s="296" t="s">
        <v>6</v>
      </c>
      <c r="AA219" s="296">
        <v>14</v>
      </c>
      <c r="AB219" s="348" t="s">
        <v>163</v>
      </c>
      <c r="AC219" s="297">
        <v>630</v>
      </c>
      <c r="AD219" s="459">
        <f>864.8-400</f>
        <v>464.79999999999995</v>
      </c>
      <c r="AE219" s="428">
        <v>64.8</v>
      </c>
      <c r="AF219" s="438">
        <v>64.8</v>
      </c>
      <c r="AG219" s="19"/>
      <c r="AH219" s="19"/>
      <c r="AI219" s="113"/>
    </row>
    <row r="220" spans="1:36" s="77" customFormat="1" ht="47.25" x14ac:dyDescent="0.25">
      <c r="A220" s="68"/>
      <c r="B220" s="63"/>
      <c r="C220" s="64"/>
      <c r="D220" s="64"/>
      <c r="E220" s="12"/>
      <c r="F220" s="64"/>
      <c r="G220" s="65"/>
      <c r="H220" s="15"/>
      <c r="I220" s="15"/>
      <c r="J220" s="15"/>
      <c r="K220" s="58"/>
      <c r="L220" s="15"/>
      <c r="M220" s="58"/>
      <c r="N220" s="30"/>
      <c r="O220" s="65"/>
      <c r="P220" s="66"/>
      <c r="Q220" s="16"/>
      <c r="R220" s="16"/>
      <c r="S220" s="16"/>
      <c r="T220" s="16"/>
      <c r="U220" s="16"/>
      <c r="V220" s="16"/>
      <c r="X220" s="307" t="s">
        <v>165</v>
      </c>
      <c r="Y220" s="295" t="s">
        <v>62</v>
      </c>
      <c r="Z220" s="296" t="s">
        <v>6</v>
      </c>
      <c r="AA220" s="296" t="s">
        <v>43</v>
      </c>
      <c r="AB220" s="348" t="s">
        <v>166</v>
      </c>
      <c r="AC220" s="297"/>
      <c r="AD220" s="459">
        <f t="shared" ref="AD220:AF221" si="41">AD221</f>
        <v>18274.400000000001</v>
      </c>
      <c r="AE220" s="428">
        <f t="shared" si="41"/>
        <v>12054</v>
      </c>
      <c r="AF220" s="438">
        <f t="shared" si="41"/>
        <v>9984.4</v>
      </c>
      <c r="AG220" s="19"/>
      <c r="AH220" s="19"/>
      <c r="AI220" s="113"/>
    </row>
    <row r="221" spans="1:36" s="77" customFormat="1" x14ac:dyDescent="0.25">
      <c r="A221" s="68"/>
      <c r="B221" s="63"/>
      <c r="C221" s="64"/>
      <c r="D221" s="64"/>
      <c r="E221" s="12"/>
      <c r="F221" s="64"/>
      <c r="G221" s="65"/>
      <c r="H221" s="15"/>
      <c r="I221" s="15"/>
      <c r="J221" s="15"/>
      <c r="K221" s="58"/>
      <c r="L221" s="15"/>
      <c r="M221" s="58"/>
      <c r="N221" s="30"/>
      <c r="O221" s="65"/>
      <c r="P221" s="66"/>
      <c r="Q221" s="16"/>
      <c r="R221" s="16"/>
      <c r="S221" s="16"/>
      <c r="T221" s="16"/>
      <c r="U221" s="16"/>
      <c r="V221" s="16"/>
      <c r="X221" s="299" t="s">
        <v>167</v>
      </c>
      <c r="Y221" s="295" t="s">
        <v>62</v>
      </c>
      <c r="Z221" s="296" t="s">
        <v>6</v>
      </c>
      <c r="AA221" s="296" t="s">
        <v>43</v>
      </c>
      <c r="AB221" s="348" t="s">
        <v>168</v>
      </c>
      <c r="AC221" s="297"/>
      <c r="AD221" s="459">
        <f t="shared" si="41"/>
        <v>18274.400000000001</v>
      </c>
      <c r="AE221" s="428">
        <f t="shared" si="41"/>
        <v>12054</v>
      </c>
      <c r="AF221" s="438">
        <f t="shared" si="41"/>
        <v>9984.4</v>
      </c>
      <c r="AG221" s="19"/>
      <c r="AH221" s="19"/>
      <c r="AI221" s="113"/>
    </row>
    <row r="222" spans="1:36" x14ac:dyDescent="0.25">
      <c r="A222" s="70"/>
      <c r="B222" s="63"/>
      <c r="C222" s="64"/>
      <c r="D222" s="64"/>
      <c r="E222" s="12"/>
      <c r="F222" s="79"/>
      <c r="G222" s="65"/>
      <c r="H222" s="29"/>
      <c r="K222" s="58"/>
      <c r="M222" s="58"/>
      <c r="N222" s="30"/>
      <c r="O222" s="31"/>
      <c r="P222" s="66"/>
      <c r="Q222" s="16"/>
      <c r="R222" s="16"/>
      <c r="S222" s="16"/>
      <c r="T222" s="16"/>
      <c r="U222" s="16"/>
      <c r="V222" s="16"/>
      <c r="X222" s="294" t="s">
        <v>118</v>
      </c>
      <c r="Y222" s="295" t="s">
        <v>62</v>
      </c>
      <c r="Z222" s="296" t="s">
        <v>6</v>
      </c>
      <c r="AA222" s="296" t="s">
        <v>43</v>
      </c>
      <c r="AB222" s="348" t="s">
        <v>168</v>
      </c>
      <c r="AC222" s="297">
        <v>200</v>
      </c>
      <c r="AD222" s="459">
        <f>AD223</f>
        <v>18274.400000000001</v>
      </c>
      <c r="AE222" s="428">
        <f>AE223</f>
        <v>12054</v>
      </c>
      <c r="AF222" s="438">
        <f>AF223</f>
        <v>9984.4</v>
      </c>
      <c r="AG222" s="19"/>
      <c r="AH222" s="19"/>
      <c r="AI222" s="113"/>
    </row>
    <row r="223" spans="1:36" ht="31.5" x14ac:dyDescent="0.25">
      <c r="A223" s="70"/>
      <c r="B223" s="63"/>
      <c r="C223" s="64"/>
      <c r="D223" s="64"/>
      <c r="E223" s="12"/>
      <c r="F223" s="79"/>
      <c r="G223" s="65"/>
      <c r="H223" s="29"/>
      <c r="K223" s="58"/>
      <c r="M223" s="58"/>
      <c r="N223" s="30"/>
      <c r="O223" s="31"/>
      <c r="P223" s="66"/>
      <c r="Q223" s="16"/>
      <c r="R223" s="16"/>
      <c r="S223" s="16"/>
      <c r="T223" s="16"/>
      <c r="U223" s="16"/>
      <c r="V223" s="16"/>
      <c r="X223" s="294" t="s">
        <v>51</v>
      </c>
      <c r="Y223" s="295" t="s">
        <v>62</v>
      </c>
      <c r="Z223" s="296" t="s">
        <v>6</v>
      </c>
      <c r="AA223" s="296" t="s">
        <v>43</v>
      </c>
      <c r="AB223" s="348" t="s">
        <v>168</v>
      </c>
      <c r="AC223" s="297">
        <v>240</v>
      </c>
      <c r="AD223" s="461">
        <f>16834+1645-204.6</f>
        <v>18274.400000000001</v>
      </c>
      <c r="AE223" s="430">
        <v>12054</v>
      </c>
      <c r="AF223" s="439">
        <v>9984.4</v>
      </c>
      <c r="AG223" s="143"/>
      <c r="AH223" s="143"/>
      <c r="AI223" s="113"/>
    </row>
    <row r="224" spans="1:36" x14ac:dyDescent="0.25">
      <c r="A224" s="70"/>
      <c r="B224" s="63"/>
      <c r="C224" s="64"/>
      <c r="D224" s="64"/>
      <c r="E224" s="12"/>
      <c r="F224" s="79"/>
      <c r="G224" s="65"/>
      <c r="H224" s="29"/>
      <c r="K224" s="58"/>
      <c r="M224" s="58"/>
      <c r="N224" s="30"/>
      <c r="O224" s="31"/>
      <c r="P224" s="66"/>
      <c r="Q224" s="16"/>
      <c r="R224" s="16"/>
      <c r="S224" s="16"/>
      <c r="T224" s="16"/>
      <c r="U224" s="16"/>
      <c r="V224" s="16"/>
      <c r="X224" s="198" t="s">
        <v>328</v>
      </c>
      <c r="Y224" s="295" t="s">
        <v>62</v>
      </c>
      <c r="Z224" s="296" t="s">
        <v>6</v>
      </c>
      <c r="AA224" s="296" t="s">
        <v>43</v>
      </c>
      <c r="AB224" s="204" t="s">
        <v>135</v>
      </c>
      <c r="AC224" s="297"/>
      <c r="AD224" s="461">
        <f t="shared" ref="AD224:AF227" si="42">AD225</f>
        <v>1150</v>
      </c>
      <c r="AE224" s="461">
        <f t="shared" si="42"/>
        <v>0</v>
      </c>
      <c r="AF224" s="461">
        <f t="shared" si="42"/>
        <v>0</v>
      </c>
      <c r="AG224" s="143"/>
      <c r="AH224" s="143"/>
      <c r="AI224" s="113"/>
    </row>
    <row r="225" spans="1:35" x14ac:dyDescent="0.25">
      <c r="A225" s="70"/>
      <c r="B225" s="63"/>
      <c r="C225" s="64"/>
      <c r="D225" s="64"/>
      <c r="E225" s="12"/>
      <c r="F225" s="79"/>
      <c r="G225" s="65"/>
      <c r="H225" s="29"/>
      <c r="K225" s="58"/>
      <c r="M225" s="58"/>
      <c r="N225" s="30"/>
      <c r="O225" s="31"/>
      <c r="P225" s="66"/>
      <c r="Q225" s="16"/>
      <c r="R225" s="16"/>
      <c r="S225" s="16"/>
      <c r="T225" s="16"/>
      <c r="U225" s="16"/>
      <c r="V225" s="16"/>
      <c r="X225" s="294" t="s">
        <v>422</v>
      </c>
      <c r="Y225" s="295" t="s">
        <v>62</v>
      </c>
      <c r="Z225" s="296" t="s">
        <v>6</v>
      </c>
      <c r="AA225" s="296" t="s">
        <v>43</v>
      </c>
      <c r="AB225" s="484" t="s">
        <v>423</v>
      </c>
      <c r="AC225" s="297"/>
      <c r="AD225" s="461">
        <f t="shared" si="42"/>
        <v>1150</v>
      </c>
      <c r="AE225" s="461">
        <f t="shared" si="42"/>
        <v>0</v>
      </c>
      <c r="AF225" s="461">
        <f t="shared" si="42"/>
        <v>0</v>
      </c>
      <c r="AG225" s="143"/>
      <c r="AH225" s="143"/>
      <c r="AI225" s="113"/>
    </row>
    <row r="226" spans="1:35" ht="33.75" customHeight="1" x14ac:dyDescent="0.25">
      <c r="A226" s="70"/>
      <c r="B226" s="63"/>
      <c r="C226" s="64"/>
      <c r="D226" s="64"/>
      <c r="E226" s="12"/>
      <c r="F226" s="79"/>
      <c r="G226" s="65"/>
      <c r="H226" s="29"/>
      <c r="K226" s="58"/>
      <c r="M226" s="58"/>
      <c r="N226" s="30"/>
      <c r="O226" s="31"/>
      <c r="P226" s="66"/>
      <c r="Q226" s="16"/>
      <c r="R226" s="16"/>
      <c r="S226" s="16"/>
      <c r="T226" s="16"/>
      <c r="U226" s="16"/>
      <c r="V226" s="16"/>
      <c r="X226" s="294" t="s">
        <v>807</v>
      </c>
      <c r="Y226" s="295" t="s">
        <v>62</v>
      </c>
      <c r="Z226" s="296" t="s">
        <v>6</v>
      </c>
      <c r="AA226" s="296" t="s">
        <v>43</v>
      </c>
      <c r="AB226" s="484" t="s">
        <v>801</v>
      </c>
      <c r="AC226" s="297"/>
      <c r="AD226" s="461">
        <f t="shared" si="42"/>
        <v>1150</v>
      </c>
      <c r="AE226" s="461">
        <f t="shared" si="42"/>
        <v>0</v>
      </c>
      <c r="AF226" s="461">
        <f t="shared" si="42"/>
        <v>0</v>
      </c>
      <c r="AG226" s="143"/>
      <c r="AH226" s="143"/>
      <c r="AI226" s="113"/>
    </row>
    <row r="227" spans="1:35" x14ac:dyDescent="0.25">
      <c r="A227" s="70"/>
      <c r="B227" s="63"/>
      <c r="C227" s="64"/>
      <c r="D227" s="64"/>
      <c r="E227" s="12"/>
      <c r="F227" s="79"/>
      <c r="G227" s="65"/>
      <c r="H227" s="29"/>
      <c r="K227" s="58"/>
      <c r="M227" s="58"/>
      <c r="N227" s="30"/>
      <c r="O227" s="31"/>
      <c r="P227" s="66"/>
      <c r="Q227" s="16"/>
      <c r="R227" s="16"/>
      <c r="S227" s="16"/>
      <c r="T227" s="16"/>
      <c r="U227" s="16"/>
      <c r="V227" s="16"/>
      <c r="X227" s="294" t="s">
        <v>95</v>
      </c>
      <c r="Y227" s="295" t="s">
        <v>62</v>
      </c>
      <c r="Z227" s="296" t="s">
        <v>6</v>
      </c>
      <c r="AA227" s="296" t="s">
        <v>43</v>
      </c>
      <c r="AB227" s="484" t="s">
        <v>801</v>
      </c>
      <c r="AC227" s="297">
        <v>300</v>
      </c>
      <c r="AD227" s="461">
        <f t="shared" si="42"/>
        <v>1150</v>
      </c>
      <c r="AE227" s="461">
        <f t="shared" si="42"/>
        <v>0</v>
      </c>
      <c r="AF227" s="461">
        <f t="shared" si="42"/>
        <v>0</v>
      </c>
      <c r="AG227" s="143"/>
      <c r="AH227" s="143"/>
      <c r="AI227" s="113"/>
    </row>
    <row r="228" spans="1:35" x14ac:dyDescent="0.25">
      <c r="A228" s="70"/>
      <c r="B228" s="63"/>
      <c r="C228" s="64"/>
      <c r="D228" s="64"/>
      <c r="E228" s="12"/>
      <c r="F228" s="79"/>
      <c r="G228" s="65"/>
      <c r="H228" s="29"/>
      <c r="K228" s="58"/>
      <c r="M228" s="58"/>
      <c r="N228" s="30"/>
      <c r="O228" s="31"/>
      <c r="P228" s="66"/>
      <c r="Q228" s="16"/>
      <c r="R228" s="16"/>
      <c r="S228" s="16"/>
      <c r="T228" s="16"/>
      <c r="U228" s="16"/>
      <c r="V228" s="16"/>
      <c r="X228" s="294" t="s">
        <v>39</v>
      </c>
      <c r="Y228" s="295" t="s">
        <v>62</v>
      </c>
      <c r="Z228" s="296" t="s">
        <v>6</v>
      </c>
      <c r="AA228" s="296" t="s">
        <v>43</v>
      </c>
      <c r="AB228" s="484" t="s">
        <v>801</v>
      </c>
      <c r="AC228" s="297">
        <v>320</v>
      </c>
      <c r="AD228" s="461">
        <f>2000-850</f>
        <v>1150</v>
      </c>
      <c r="AE228" s="430">
        <v>0</v>
      </c>
      <c r="AF228" s="439">
        <v>0</v>
      </c>
      <c r="AG228" s="143"/>
      <c r="AH228" s="143"/>
      <c r="AI228" s="113"/>
    </row>
    <row r="229" spans="1:35" s="62" customFormat="1" x14ac:dyDescent="0.25">
      <c r="A229" s="53"/>
      <c r="B229" s="54"/>
      <c r="C229" s="56"/>
      <c r="D229" s="56"/>
      <c r="E229" s="57"/>
      <c r="F229" s="57"/>
      <c r="G229" s="58"/>
      <c r="H229" s="58"/>
      <c r="I229" s="58"/>
      <c r="J229" s="58"/>
      <c r="K229" s="58"/>
      <c r="L229" s="58"/>
      <c r="M229" s="58"/>
      <c r="N229" s="58"/>
      <c r="O229" s="80"/>
      <c r="P229" s="58"/>
      <c r="Q229" s="60"/>
      <c r="R229" s="61"/>
      <c r="S229" s="61"/>
      <c r="T229" s="61"/>
      <c r="U229" s="61"/>
      <c r="V229" s="61"/>
      <c r="W229" s="61"/>
      <c r="X229" s="445" t="s">
        <v>44</v>
      </c>
      <c r="Y229" s="291" t="s">
        <v>62</v>
      </c>
      <c r="Z229" s="312" t="s">
        <v>48</v>
      </c>
      <c r="AA229" s="312"/>
      <c r="AB229" s="345"/>
      <c r="AC229" s="317"/>
      <c r="AD229" s="458">
        <f>AD230+AD267+AI2168+AD245+AD252</f>
        <v>92336.5</v>
      </c>
      <c r="AE229" s="427">
        <f>AE230+AE267+AJ2168+AE245+AE252</f>
        <v>70083.7</v>
      </c>
      <c r="AF229" s="437">
        <f>AF230+AF267+AK2168+AF245+AF252</f>
        <v>68570.899999999994</v>
      </c>
      <c r="AG229" s="142"/>
      <c r="AH229" s="142"/>
      <c r="AI229" s="113"/>
    </row>
    <row r="230" spans="1:35" s="77" customFormat="1" x14ac:dyDescent="0.25">
      <c r="A230" s="14"/>
      <c r="B230" s="63"/>
      <c r="C230" s="64"/>
      <c r="D230" s="64"/>
      <c r="E230" s="12"/>
      <c r="F230" s="12"/>
      <c r="G230" s="65"/>
      <c r="H230" s="65"/>
      <c r="I230" s="65"/>
      <c r="J230" s="65"/>
      <c r="K230" s="65"/>
      <c r="L230" s="58"/>
      <c r="M230" s="65"/>
      <c r="N230" s="58"/>
      <c r="O230" s="30"/>
      <c r="P230" s="65"/>
      <c r="Q230" s="66"/>
      <c r="R230" s="16"/>
      <c r="S230" s="16"/>
      <c r="T230" s="16"/>
      <c r="U230" s="16"/>
      <c r="V230" s="16"/>
      <c r="W230" s="16"/>
      <c r="X230" s="294" t="s">
        <v>70</v>
      </c>
      <c r="Y230" s="295" t="s">
        <v>62</v>
      </c>
      <c r="Z230" s="296" t="s">
        <v>48</v>
      </c>
      <c r="AA230" s="296" t="s">
        <v>15</v>
      </c>
      <c r="AB230" s="347"/>
      <c r="AC230" s="323"/>
      <c r="AD230" s="459">
        <f>AD238+AD231</f>
        <v>34883.700000000004</v>
      </c>
      <c r="AE230" s="428">
        <f>AE238+AE231</f>
        <v>30338.7</v>
      </c>
      <c r="AF230" s="438">
        <f>AF238+AF231</f>
        <v>30337.899999999998</v>
      </c>
      <c r="AG230" s="19"/>
      <c r="AH230" s="19"/>
      <c r="AI230" s="113"/>
    </row>
    <row r="231" spans="1:35" s="77" customFormat="1" x14ac:dyDescent="0.25">
      <c r="A231" s="14"/>
      <c r="B231" s="63"/>
      <c r="C231" s="64"/>
      <c r="D231" s="64"/>
      <c r="E231" s="12"/>
      <c r="F231" s="12"/>
      <c r="G231" s="65"/>
      <c r="H231" s="65"/>
      <c r="I231" s="65"/>
      <c r="J231" s="65"/>
      <c r="K231" s="65"/>
      <c r="L231" s="58"/>
      <c r="M231" s="65"/>
      <c r="N231" s="58"/>
      <c r="O231" s="30"/>
      <c r="P231" s="65"/>
      <c r="Q231" s="66"/>
      <c r="R231" s="16"/>
      <c r="S231" s="16"/>
      <c r="T231" s="16"/>
      <c r="U231" s="16"/>
      <c r="V231" s="16"/>
      <c r="W231" s="16"/>
      <c r="X231" s="299" t="s">
        <v>184</v>
      </c>
      <c r="Y231" s="295" t="s">
        <v>62</v>
      </c>
      <c r="Z231" s="310" t="s">
        <v>48</v>
      </c>
      <c r="AA231" s="310" t="s">
        <v>15</v>
      </c>
      <c r="AB231" s="348" t="s">
        <v>110</v>
      </c>
      <c r="AC231" s="311"/>
      <c r="AD231" s="459">
        <f t="shared" ref="AD231:AF236" si="43">AD232</f>
        <v>34882.9</v>
      </c>
      <c r="AE231" s="428">
        <f t="shared" si="43"/>
        <v>30337.3</v>
      </c>
      <c r="AF231" s="438">
        <f t="shared" si="43"/>
        <v>30337.3</v>
      </c>
      <c r="AG231" s="19"/>
      <c r="AH231" s="19"/>
      <c r="AI231" s="113"/>
    </row>
    <row r="232" spans="1:35" s="77" customFormat="1" x14ac:dyDescent="0.25">
      <c r="A232" s="14"/>
      <c r="B232" s="63"/>
      <c r="C232" s="64"/>
      <c r="D232" s="64"/>
      <c r="E232" s="12"/>
      <c r="F232" s="12"/>
      <c r="G232" s="65"/>
      <c r="H232" s="65"/>
      <c r="I232" s="65"/>
      <c r="J232" s="65"/>
      <c r="K232" s="65"/>
      <c r="L232" s="58"/>
      <c r="M232" s="65"/>
      <c r="N232" s="58"/>
      <c r="O232" s="30"/>
      <c r="P232" s="65"/>
      <c r="Q232" s="66"/>
      <c r="R232" s="16"/>
      <c r="S232" s="16"/>
      <c r="T232" s="16"/>
      <c r="U232" s="16"/>
      <c r="V232" s="16"/>
      <c r="W232" s="16"/>
      <c r="X232" s="299" t="s">
        <v>187</v>
      </c>
      <c r="Y232" s="295" t="s">
        <v>62</v>
      </c>
      <c r="Z232" s="310" t="s">
        <v>48</v>
      </c>
      <c r="AA232" s="310" t="s">
        <v>15</v>
      </c>
      <c r="AB232" s="348" t="s">
        <v>188</v>
      </c>
      <c r="AC232" s="311"/>
      <c r="AD232" s="459">
        <f t="shared" si="43"/>
        <v>34882.9</v>
      </c>
      <c r="AE232" s="428">
        <f t="shared" si="43"/>
        <v>30337.3</v>
      </c>
      <c r="AF232" s="438">
        <f t="shared" si="43"/>
        <v>30337.3</v>
      </c>
      <c r="AG232" s="19"/>
      <c r="AH232" s="19"/>
      <c r="AI232" s="113"/>
    </row>
    <row r="233" spans="1:35" s="77" customFormat="1" ht="31.5" x14ac:dyDescent="0.25">
      <c r="A233" s="14"/>
      <c r="B233" s="63"/>
      <c r="C233" s="64"/>
      <c r="D233" s="64"/>
      <c r="E233" s="12"/>
      <c r="F233" s="12"/>
      <c r="G233" s="65"/>
      <c r="H233" s="65"/>
      <c r="I233" s="65"/>
      <c r="J233" s="65"/>
      <c r="K233" s="65"/>
      <c r="L233" s="58"/>
      <c r="M233" s="65"/>
      <c r="N233" s="58"/>
      <c r="O233" s="30"/>
      <c r="P233" s="65"/>
      <c r="Q233" s="66"/>
      <c r="R233" s="16"/>
      <c r="S233" s="16"/>
      <c r="T233" s="16"/>
      <c r="U233" s="16"/>
      <c r="V233" s="16"/>
      <c r="W233" s="16"/>
      <c r="X233" s="299" t="s">
        <v>189</v>
      </c>
      <c r="Y233" s="295" t="s">
        <v>62</v>
      </c>
      <c r="Z233" s="310" t="s">
        <v>48</v>
      </c>
      <c r="AA233" s="310" t="s">
        <v>15</v>
      </c>
      <c r="AB233" s="348" t="s">
        <v>190</v>
      </c>
      <c r="AC233" s="311"/>
      <c r="AD233" s="459">
        <f t="shared" si="43"/>
        <v>34882.9</v>
      </c>
      <c r="AE233" s="428">
        <f t="shared" si="43"/>
        <v>30337.3</v>
      </c>
      <c r="AF233" s="438">
        <f t="shared" si="43"/>
        <v>30337.3</v>
      </c>
      <c r="AG233" s="19"/>
      <c r="AH233" s="19"/>
      <c r="AI233" s="113"/>
    </row>
    <row r="234" spans="1:35" s="77" customFormat="1" ht="31.5" x14ac:dyDescent="0.25">
      <c r="A234" s="14"/>
      <c r="B234" s="63"/>
      <c r="C234" s="64"/>
      <c r="D234" s="64"/>
      <c r="E234" s="12"/>
      <c r="F234" s="12"/>
      <c r="G234" s="65"/>
      <c r="H234" s="65"/>
      <c r="I234" s="65"/>
      <c r="J234" s="65"/>
      <c r="K234" s="65"/>
      <c r="L234" s="58"/>
      <c r="M234" s="65"/>
      <c r="N234" s="58"/>
      <c r="O234" s="30"/>
      <c r="P234" s="65"/>
      <c r="Q234" s="66"/>
      <c r="R234" s="16"/>
      <c r="S234" s="16"/>
      <c r="T234" s="16"/>
      <c r="U234" s="16"/>
      <c r="V234" s="16"/>
      <c r="W234" s="16"/>
      <c r="X234" s="307" t="s">
        <v>201</v>
      </c>
      <c r="Y234" s="295" t="s">
        <v>62</v>
      </c>
      <c r="Z234" s="310" t="s">
        <v>48</v>
      </c>
      <c r="AA234" s="310" t="s">
        <v>15</v>
      </c>
      <c r="AB234" s="350" t="s">
        <v>202</v>
      </c>
      <c r="AC234" s="311"/>
      <c r="AD234" s="459">
        <f t="shared" si="43"/>
        <v>34882.9</v>
      </c>
      <c r="AE234" s="428">
        <f t="shared" si="43"/>
        <v>30337.3</v>
      </c>
      <c r="AF234" s="438">
        <f t="shared" si="43"/>
        <v>30337.3</v>
      </c>
      <c r="AG234" s="19"/>
      <c r="AH234" s="19"/>
      <c r="AI234" s="113"/>
    </row>
    <row r="235" spans="1:35" s="77" customFormat="1" ht="47.25" x14ac:dyDescent="0.25">
      <c r="A235" s="14"/>
      <c r="B235" s="63"/>
      <c r="C235" s="64"/>
      <c r="D235" s="64"/>
      <c r="E235" s="12"/>
      <c r="F235" s="12"/>
      <c r="G235" s="65"/>
      <c r="H235" s="65"/>
      <c r="I235" s="65"/>
      <c r="J235" s="65"/>
      <c r="K235" s="65"/>
      <c r="L235" s="58"/>
      <c r="M235" s="65"/>
      <c r="N235" s="58"/>
      <c r="O235" s="30"/>
      <c r="P235" s="65"/>
      <c r="Q235" s="66"/>
      <c r="R235" s="16"/>
      <c r="S235" s="16"/>
      <c r="T235" s="16"/>
      <c r="U235" s="16"/>
      <c r="V235" s="16"/>
      <c r="W235" s="16"/>
      <c r="X235" s="307" t="s">
        <v>364</v>
      </c>
      <c r="Y235" s="295" t="s">
        <v>62</v>
      </c>
      <c r="Z235" s="310" t="s">
        <v>48</v>
      </c>
      <c r="AA235" s="310" t="s">
        <v>15</v>
      </c>
      <c r="AB235" s="350" t="s">
        <v>314</v>
      </c>
      <c r="AC235" s="311"/>
      <c r="AD235" s="459">
        <f t="shared" si="43"/>
        <v>34882.9</v>
      </c>
      <c r="AE235" s="428">
        <f t="shared" si="43"/>
        <v>30337.3</v>
      </c>
      <c r="AF235" s="438">
        <f t="shared" si="43"/>
        <v>30337.3</v>
      </c>
      <c r="AG235" s="19"/>
      <c r="AH235" s="19"/>
      <c r="AI235" s="113"/>
    </row>
    <row r="236" spans="1:35" s="77" customFormat="1" ht="31.5" x14ac:dyDescent="0.25">
      <c r="A236" s="14"/>
      <c r="B236" s="63"/>
      <c r="C236" s="64"/>
      <c r="D236" s="64"/>
      <c r="E236" s="12"/>
      <c r="F236" s="12"/>
      <c r="G236" s="65"/>
      <c r="H236" s="65"/>
      <c r="I236" s="65"/>
      <c r="J236" s="65"/>
      <c r="K236" s="65"/>
      <c r="L236" s="58"/>
      <c r="M236" s="65"/>
      <c r="N236" s="58"/>
      <c r="O236" s="30"/>
      <c r="P236" s="65"/>
      <c r="Q236" s="66"/>
      <c r="R236" s="16"/>
      <c r="S236" s="16"/>
      <c r="T236" s="16"/>
      <c r="U236" s="16"/>
      <c r="V236" s="16"/>
      <c r="W236" s="16"/>
      <c r="X236" s="446" t="s">
        <v>59</v>
      </c>
      <c r="Y236" s="295" t="s">
        <v>62</v>
      </c>
      <c r="Z236" s="310" t="s">
        <v>48</v>
      </c>
      <c r="AA236" s="310" t="s">
        <v>15</v>
      </c>
      <c r="AB236" s="350" t="s">
        <v>314</v>
      </c>
      <c r="AC236" s="311">
        <v>600</v>
      </c>
      <c r="AD236" s="459">
        <f t="shared" si="43"/>
        <v>34882.9</v>
      </c>
      <c r="AE236" s="428">
        <f t="shared" si="43"/>
        <v>30337.3</v>
      </c>
      <c r="AF236" s="438">
        <f t="shared" si="43"/>
        <v>30337.3</v>
      </c>
      <c r="AG236" s="19"/>
      <c r="AH236" s="19"/>
      <c r="AI236" s="113"/>
    </row>
    <row r="237" spans="1:35" s="77" customFormat="1" x14ac:dyDescent="0.25">
      <c r="A237" s="14"/>
      <c r="B237" s="63"/>
      <c r="C237" s="64"/>
      <c r="D237" s="64"/>
      <c r="E237" s="12"/>
      <c r="F237" s="12"/>
      <c r="G237" s="65"/>
      <c r="H237" s="65"/>
      <c r="I237" s="65"/>
      <c r="J237" s="65"/>
      <c r="K237" s="65"/>
      <c r="L237" s="58"/>
      <c r="M237" s="65"/>
      <c r="N237" s="58"/>
      <c r="O237" s="30"/>
      <c r="P237" s="65"/>
      <c r="Q237" s="66"/>
      <c r="R237" s="16"/>
      <c r="S237" s="16"/>
      <c r="T237" s="16"/>
      <c r="U237" s="16"/>
      <c r="V237" s="16"/>
      <c r="W237" s="16"/>
      <c r="X237" s="446" t="s">
        <v>60</v>
      </c>
      <c r="Y237" s="295" t="s">
        <v>62</v>
      </c>
      <c r="Z237" s="310" t="s">
        <v>48</v>
      </c>
      <c r="AA237" s="310" t="s">
        <v>15</v>
      </c>
      <c r="AB237" s="350" t="s">
        <v>314</v>
      </c>
      <c r="AC237" s="311">
        <v>610</v>
      </c>
      <c r="AD237" s="459">
        <f>33882.9+600+400</f>
        <v>34882.9</v>
      </c>
      <c r="AE237" s="428">
        <v>30337.3</v>
      </c>
      <c r="AF237" s="438">
        <v>30337.3</v>
      </c>
      <c r="AG237" s="19"/>
      <c r="AH237" s="19"/>
      <c r="AI237" s="113"/>
    </row>
    <row r="238" spans="1:35" s="77" customFormat="1" ht="31.5" x14ac:dyDescent="0.25">
      <c r="A238" s="14"/>
      <c r="B238" s="63"/>
      <c r="C238" s="64"/>
      <c r="D238" s="64"/>
      <c r="E238" s="12"/>
      <c r="F238" s="12"/>
      <c r="G238" s="65"/>
      <c r="H238" s="65"/>
      <c r="I238" s="65"/>
      <c r="J238" s="65"/>
      <c r="K238" s="65"/>
      <c r="L238" s="58"/>
      <c r="M238" s="65"/>
      <c r="N238" s="58"/>
      <c r="O238" s="30"/>
      <c r="P238" s="65"/>
      <c r="Q238" s="66"/>
      <c r="R238" s="16"/>
      <c r="S238" s="16"/>
      <c r="T238" s="16"/>
      <c r="U238" s="16"/>
      <c r="V238" s="16"/>
      <c r="W238" s="16"/>
      <c r="X238" s="299" t="s">
        <v>224</v>
      </c>
      <c r="Y238" s="295" t="s">
        <v>62</v>
      </c>
      <c r="Z238" s="296" t="s">
        <v>48</v>
      </c>
      <c r="AA238" s="296" t="s">
        <v>15</v>
      </c>
      <c r="AB238" s="348" t="s">
        <v>225</v>
      </c>
      <c r="AC238" s="323"/>
      <c r="AD238" s="459">
        <f>AD239</f>
        <v>0.79999999999999993</v>
      </c>
      <c r="AE238" s="428">
        <f>AE239</f>
        <v>1.4000000000000001</v>
      </c>
      <c r="AF238" s="438">
        <f>AF239</f>
        <v>0.6</v>
      </c>
      <c r="AG238" s="19"/>
      <c r="AH238" s="19"/>
      <c r="AI238" s="113"/>
    </row>
    <row r="239" spans="1:35" s="77" customFormat="1" x14ac:dyDescent="0.25">
      <c r="A239" s="68"/>
      <c r="B239" s="63"/>
      <c r="C239" s="64"/>
      <c r="D239" s="64"/>
      <c r="E239" s="12"/>
      <c r="F239" s="64"/>
      <c r="G239" s="65"/>
      <c r="I239" s="15"/>
      <c r="J239" s="15"/>
      <c r="K239" s="15"/>
      <c r="L239" s="58"/>
      <c r="M239" s="15"/>
      <c r="N239" s="58"/>
      <c r="O239" s="30"/>
      <c r="P239" s="65"/>
      <c r="Q239" s="66"/>
      <c r="R239" s="16"/>
      <c r="S239" s="16"/>
      <c r="T239" s="16"/>
      <c r="U239" s="16"/>
      <c r="V239" s="16"/>
      <c r="W239" s="16"/>
      <c r="X239" s="299" t="s">
        <v>226</v>
      </c>
      <c r="Y239" s="295" t="s">
        <v>62</v>
      </c>
      <c r="Z239" s="296" t="s">
        <v>48</v>
      </c>
      <c r="AA239" s="296" t="s">
        <v>15</v>
      </c>
      <c r="AB239" s="348" t="s">
        <v>227</v>
      </c>
      <c r="AC239" s="297"/>
      <c r="AD239" s="459">
        <f t="shared" ref="AD239:AF241" si="44">AD240</f>
        <v>0.79999999999999993</v>
      </c>
      <c r="AE239" s="428">
        <f t="shared" si="44"/>
        <v>1.4000000000000001</v>
      </c>
      <c r="AF239" s="438">
        <f t="shared" si="44"/>
        <v>0.6</v>
      </c>
      <c r="AG239" s="19"/>
      <c r="AH239" s="19"/>
      <c r="AI239" s="113"/>
    </row>
    <row r="240" spans="1:35" s="77" customFormat="1" x14ac:dyDescent="0.25">
      <c r="A240" s="68"/>
      <c r="B240" s="63"/>
      <c r="C240" s="64"/>
      <c r="D240" s="64"/>
      <c r="E240" s="12"/>
      <c r="F240" s="64"/>
      <c r="G240" s="65"/>
      <c r="I240" s="15"/>
      <c r="J240" s="15"/>
      <c r="K240" s="15"/>
      <c r="L240" s="58"/>
      <c r="M240" s="15"/>
      <c r="N240" s="58"/>
      <c r="O240" s="30"/>
      <c r="P240" s="65"/>
      <c r="Q240" s="66"/>
      <c r="R240" s="16"/>
      <c r="S240" s="16"/>
      <c r="T240" s="16"/>
      <c r="U240" s="16"/>
      <c r="V240" s="16"/>
      <c r="W240" s="16"/>
      <c r="X240" s="307" t="s">
        <v>421</v>
      </c>
      <c r="Y240" s="295" t="s">
        <v>62</v>
      </c>
      <c r="Z240" s="296" t="s">
        <v>48</v>
      </c>
      <c r="AA240" s="296" t="s">
        <v>15</v>
      </c>
      <c r="AB240" s="348" t="s">
        <v>334</v>
      </c>
      <c r="AC240" s="297"/>
      <c r="AD240" s="459">
        <f t="shared" si="44"/>
        <v>0.79999999999999993</v>
      </c>
      <c r="AE240" s="428">
        <f t="shared" si="44"/>
        <v>1.4000000000000001</v>
      </c>
      <c r="AF240" s="438">
        <f t="shared" si="44"/>
        <v>0.6</v>
      </c>
      <c r="AG240" s="19"/>
      <c r="AH240" s="19"/>
      <c r="AI240" s="113"/>
    </row>
    <row r="241" spans="1:35" s="77" customFormat="1" ht="47.25" x14ac:dyDescent="0.25">
      <c r="A241" s="68"/>
      <c r="B241" s="63"/>
      <c r="C241" s="64"/>
      <c r="D241" s="64"/>
      <c r="E241" s="12"/>
      <c r="F241" s="64"/>
      <c r="G241" s="65"/>
      <c r="H241" s="65"/>
      <c r="I241" s="65"/>
      <c r="J241" s="65"/>
      <c r="K241" s="65"/>
      <c r="L241" s="58"/>
      <c r="M241" s="65"/>
      <c r="N241" s="58"/>
      <c r="O241" s="30"/>
      <c r="P241" s="65"/>
      <c r="Q241" s="66"/>
      <c r="R241" s="16"/>
      <c r="S241" s="16"/>
      <c r="T241" s="16"/>
      <c r="U241" s="16"/>
      <c r="V241" s="16"/>
      <c r="W241" s="16"/>
      <c r="X241" s="307" t="s">
        <v>228</v>
      </c>
      <c r="Y241" s="295" t="s">
        <v>62</v>
      </c>
      <c r="Z241" s="296" t="s">
        <v>48</v>
      </c>
      <c r="AA241" s="296" t="s">
        <v>15</v>
      </c>
      <c r="AB241" s="348" t="s">
        <v>335</v>
      </c>
      <c r="AC241" s="297"/>
      <c r="AD241" s="459">
        <f>AD242</f>
        <v>0.79999999999999993</v>
      </c>
      <c r="AE241" s="428">
        <f t="shared" si="44"/>
        <v>1.4000000000000001</v>
      </c>
      <c r="AF241" s="438">
        <f t="shared" si="44"/>
        <v>0.6</v>
      </c>
      <c r="AG241" s="19"/>
      <c r="AH241" s="19"/>
      <c r="AI241" s="113"/>
    </row>
    <row r="242" spans="1:35" s="77" customFormat="1" ht="47.25" x14ac:dyDescent="0.25">
      <c r="A242" s="68"/>
      <c r="B242" s="63"/>
      <c r="C242" s="64"/>
      <c r="D242" s="64"/>
      <c r="E242" s="12"/>
      <c r="F242" s="64"/>
      <c r="G242" s="65"/>
      <c r="H242" s="65"/>
      <c r="I242" s="65"/>
      <c r="J242" s="65"/>
      <c r="K242" s="65"/>
      <c r="L242" s="58"/>
      <c r="M242" s="65"/>
      <c r="N242" s="58"/>
      <c r="O242" s="30"/>
      <c r="P242" s="65"/>
      <c r="Q242" s="66"/>
      <c r="R242" s="16"/>
      <c r="S242" s="16"/>
      <c r="T242" s="16"/>
      <c r="U242" s="16"/>
      <c r="V242" s="16"/>
      <c r="W242" s="16"/>
      <c r="X242" s="307" t="s">
        <v>317</v>
      </c>
      <c r="Y242" s="295" t="s">
        <v>62</v>
      </c>
      <c r="Z242" s="296" t="s">
        <v>48</v>
      </c>
      <c r="AA242" s="296" t="s">
        <v>15</v>
      </c>
      <c r="AB242" s="348" t="s">
        <v>336</v>
      </c>
      <c r="AC242" s="297"/>
      <c r="AD242" s="459">
        <f t="shared" ref="AD242:AF243" si="45">AD243</f>
        <v>0.79999999999999993</v>
      </c>
      <c r="AE242" s="428">
        <f t="shared" si="45"/>
        <v>1.4000000000000001</v>
      </c>
      <c r="AF242" s="438">
        <f>AF243</f>
        <v>0.6</v>
      </c>
      <c r="AG242" s="19"/>
      <c r="AH242" s="19"/>
      <c r="AI242" s="113"/>
    </row>
    <row r="243" spans="1:35" s="77" customFormat="1" x14ac:dyDescent="0.25">
      <c r="A243" s="68"/>
      <c r="B243" s="63"/>
      <c r="C243" s="64"/>
      <c r="D243" s="64"/>
      <c r="E243" s="12"/>
      <c r="F243" s="64"/>
      <c r="G243" s="65"/>
      <c r="H243" s="65"/>
      <c r="I243" s="65"/>
      <c r="J243" s="65"/>
      <c r="K243" s="65"/>
      <c r="L243" s="58"/>
      <c r="M243" s="65"/>
      <c r="N243" s="58"/>
      <c r="O243" s="30"/>
      <c r="P243" s="65"/>
      <c r="Q243" s="66"/>
      <c r="R243" s="16"/>
      <c r="S243" s="16"/>
      <c r="T243" s="16"/>
      <c r="U243" s="16"/>
      <c r="V243" s="16"/>
      <c r="W243" s="16"/>
      <c r="X243" s="294" t="s">
        <v>118</v>
      </c>
      <c r="Y243" s="295" t="s">
        <v>62</v>
      </c>
      <c r="Z243" s="296" t="s">
        <v>48</v>
      </c>
      <c r="AA243" s="296" t="s">
        <v>15</v>
      </c>
      <c r="AB243" s="348" t="s">
        <v>336</v>
      </c>
      <c r="AC243" s="297">
        <v>200</v>
      </c>
      <c r="AD243" s="459">
        <f t="shared" si="45"/>
        <v>0.79999999999999993</v>
      </c>
      <c r="AE243" s="428">
        <f t="shared" si="45"/>
        <v>1.4000000000000001</v>
      </c>
      <c r="AF243" s="438">
        <f t="shared" si="45"/>
        <v>0.6</v>
      </c>
      <c r="AG243" s="19"/>
      <c r="AH243" s="19"/>
      <c r="AI243" s="113"/>
    </row>
    <row r="244" spans="1:35" s="77" customFormat="1" ht="20.25" customHeight="1" x14ac:dyDescent="0.25">
      <c r="A244" s="68"/>
      <c r="B244" s="63"/>
      <c r="C244" s="64"/>
      <c r="D244" s="64"/>
      <c r="E244" s="12"/>
      <c r="F244" s="64"/>
      <c r="G244" s="65"/>
      <c r="H244" s="65"/>
      <c r="I244" s="65"/>
      <c r="J244" s="65"/>
      <c r="K244" s="65"/>
      <c r="L244" s="58"/>
      <c r="M244" s="65"/>
      <c r="N244" s="58"/>
      <c r="O244" s="30"/>
      <c r="P244" s="65"/>
      <c r="Q244" s="66"/>
      <c r="R244" s="16"/>
      <c r="S244" s="16"/>
      <c r="T244" s="16"/>
      <c r="U244" s="16"/>
      <c r="V244" s="16"/>
      <c r="W244" s="16"/>
      <c r="X244" s="294" t="s">
        <v>51</v>
      </c>
      <c r="Y244" s="295" t="s">
        <v>62</v>
      </c>
      <c r="Z244" s="296" t="s">
        <v>48</v>
      </c>
      <c r="AA244" s="296" t="s">
        <v>15</v>
      </c>
      <c r="AB244" s="348" t="s">
        <v>336</v>
      </c>
      <c r="AC244" s="297">
        <v>240</v>
      </c>
      <c r="AD244" s="459">
        <f>0.1+0.7</f>
        <v>0.79999999999999993</v>
      </c>
      <c r="AE244" s="428">
        <f>0.1+1.3</f>
        <v>1.4000000000000001</v>
      </c>
      <c r="AF244" s="438">
        <v>0.6</v>
      </c>
      <c r="AG244" s="19"/>
      <c r="AH244" s="19"/>
      <c r="AI244" s="113"/>
    </row>
    <row r="245" spans="1:35" s="77" customFormat="1" ht="18.75" x14ac:dyDescent="0.3">
      <c r="A245" s="81"/>
      <c r="B245" s="63"/>
      <c r="C245" s="64"/>
      <c r="D245" s="64"/>
      <c r="E245" s="12"/>
      <c r="F245" s="64"/>
      <c r="G245" s="65"/>
      <c r="I245" s="15"/>
      <c r="J245" s="15"/>
      <c r="K245" s="15"/>
      <c r="L245" s="58"/>
      <c r="M245" s="15"/>
      <c r="N245" s="58"/>
      <c r="O245" s="30"/>
      <c r="P245" s="65"/>
      <c r="Q245" s="66"/>
      <c r="R245" s="16"/>
      <c r="S245" s="16"/>
      <c r="T245" s="16"/>
      <c r="U245" s="16"/>
      <c r="V245" s="16"/>
      <c r="X245" s="294" t="s">
        <v>91</v>
      </c>
      <c r="Y245" s="295" t="s">
        <v>62</v>
      </c>
      <c r="Z245" s="296" t="s">
        <v>48</v>
      </c>
      <c r="AA245" s="296" t="s">
        <v>21</v>
      </c>
      <c r="AB245" s="353"/>
      <c r="AC245" s="324"/>
      <c r="AD245" s="459">
        <f t="shared" ref="AD245:AF246" si="46">AD246</f>
        <v>52146.1</v>
      </c>
      <c r="AE245" s="428">
        <f t="shared" si="46"/>
        <v>36365</v>
      </c>
      <c r="AF245" s="438">
        <f t="shared" si="46"/>
        <v>37856</v>
      </c>
      <c r="AG245" s="19"/>
      <c r="AH245" s="19"/>
      <c r="AI245" s="113"/>
    </row>
    <row r="246" spans="1:35" s="77" customFormat="1" ht="31.5" x14ac:dyDescent="0.25">
      <c r="A246" s="81"/>
      <c r="B246" s="63"/>
      <c r="C246" s="64"/>
      <c r="D246" s="64"/>
      <c r="E246" s="12"/>
      <c r="F246" s="64"/>
      <c r="G246" s="65"/>
      <c r="I246" s="15"/>
      <c r="J246" s="15"/>
      <c r="K246" s="15"/>
      <c r="L246" s="58"/>
      <c r="M246" s="15"/>
      <c r="N246" s="58"/>
      <c r="O246" s="30"/>
      <c r="P246" s="65"/>
      <c r="Q246" s="66"/>
      <c r="R246" s="16"/>
      <c r="S246" s="16"/>
      <c r="T246" s="16"/>
      <c r="U246" s="16"/>
      <c r="V246" s="16"/>
      <c r="X246" s="299" t="s">
        <v>224</v>
      </c>
      <c r="Y246" s="308" t="s">
        <v>62</v>
      </c>
      <c r="Z246" s="313" t="s">
        <v>48</v>
      </c>
      <c r="AA246" s="313" t="s">
        <v>21</v>
      </c>
      <c r="AB246" s="348" t="s">
        <v>225</v>
      </c>
      <c r="AC246" s="323"/>
      <c r="AD246" s="459">
        <f>AD247</f>
        <v>52146.1</v>
      </c>
      <c r="AE246" s="428">
        <f t="shared" si="46"/>
        <v>36365</v>
      </c>
      <c r="AF246" s="438">
        <f t="shared" si="46"/>
        <v>37856</v>
      </c>
      <c r="AG246" s="19"/>
      <c r="AH246" s="19"/>
      <c r="AI246" s="113"/>
    </row>
    <row r="247" spans="1:35" s="77" customFormat="1" x14ac:dyDescent="0.25">
      <c r="A247" s="81"/>
      <c r="B247" s="63"/>
      <c r="C247" s="64"/>
      <c r="D247" s="64"/>
      <c r="E247" s="12"/>
      <c r="F247" s="64"/>
      <c r="G247" s="65"/>
      <c r="I247" s="15"/>
      <c r="J247" s="15"/>
      <c r="K247" s="15"/>
      <c r="L247" s="58"/>
      <c r="M247" s="15"/>
      <c r="N247" s="58"/>
      <c r="O247" s="30"/>
      <c r="P247" s="65"/>
      <c r="Q247" s="66"/>
      <c r="R247" s="16"/>
      <c r="S247" s="16"/>
      <c r="T247" s="16"/>
      <c r="U247" s="16"/>
      <c r="V247" s="16"/>
      <c r="X247" s="299" t="s">
        <v>47</v>
      </c>
      <c r="Y247" s="295" t="s">
        <v>62</v>
      </c>
      <c r="Z247" s="313" t="s">
        <v>48</v>
      </c>
      <c r="AA247" s="313" t="s">
        <v>21</v>
      </c>
      <c r="AB247" s="348" t="s">
        <v>337</v>
      </c>
      <c r="AC247" s="297"/>
      <c r="AD247" s="459">
        <f t="shared" ref="AD247:AF250" si="47">AD248</f>
        <v>52146.1</v>
      </c>
      <c r="AE247" s="428">
        <f t="shared" si="47"/>
        <v>36365</v>
      </c>
      <c r="AF247" s="438">
        <f t="shared" si="47"/>
        <v>37856</v>
      </c>
      <c r="AG247" s="19"/>
      <c r="AH247" s="19"/>
      <c r="AI247" s="113"/>
    </row>
    <row r="248" spans="1:35" s="77" customFormat="1" ht="31.5" x14ac:dyDescent="0.25">
      <c r="A248" s="81"/>
      <c r="B248" s="63"/>
      <c r="C248" s="64"/>
      <c r="D248" s="64"/>
      <c r="E248" s="12"/>
      <c r="F248" s="64"/>
      <c r="G248" s="65"/>
      <c r="I248" s="15"/>
      <c r="J248" s="15"/>
      <c r="K248" s="15"/>
      <c r="L248" s="58"/>
      <c r="M248" s="15"/>
      <c r="N248" s="58"/>
      <c r="O248" s="30"/>
      <c r="P248" s="65"/>
      <c r="Q248" s="66"/>
      <c r="R248" s="16"/>
      <c r="S248" s="16"/>
      <c r="T248" s="16"/>
      <c r="U248" s="16"/>
      <c r="V248" s="16"/>
      <c r="X248" s="299" t="s">
        <v>189</v>
      </c>
      <c r="Y248" s="295" t="s">
        <v>62</v>
      </c>
      <c r="Z248" s="313" t="s">
        <v>48</v>
      </c>
      <c r="AA248" s="313" t="s">
        <v>21</v>
      </c>
      <c r="AB248" s="348" t="s">
        <v>338</v>
      </c>
      <c r="AC248" s="297"/>
      <c r="AD248" s="459">
        <f t="shared" si="47"/>
        <v>52146.1</v>
      </c>
      <c r="AE248" s="428">
        <f t="shared" si="47"/>
        <v>36365</v>
      </c>
      <c r="AF248" s="438">
        <f t="shared" si="47"/>
        <v>37856</v>
      </c>
      <c r="AG248" s="19"/>
      <c r="AH248" s="19"/>
      <c r="AI248" s="113"/>
    </row>
    <row r="249" spans="1:35" s="77" customFormat="1" ht="31.5" x14ac:dyDescent="0.25">
      <c r="A249" s="81"/>
      <c r="B249" s="63"/>
      <c r="C249" s="64"/>
      <c r="D249" s="64"/>
      <c r="E249" s="12"/>
      <c r="F249" s="64"/>
      <c r="G249" s="65"/>
      <c r="I249" s="15"/>
      <c r="J249" s="15"/>
      <c r="K249" s="15"/>
      <c r="L249" s="58"/>
      <c r="M249" s="15"/>
      <c r="N249" s="58"/>
      <c r="O249" s="30"/>
      <c r="P249" s="65"/>
      <c r="Q249" s="66"/>
      <c r="R249" s="16"/>
      <c r="S249" s="16"/>
      <c r="T249" s="16"/>
      <c r="U249" s="16"/>
      <c r="V249" s="16"/>
      <c r="X249" s="307" t="s">
        <v>691</v>
      </c>
      <c r="Y249" s="295" t="s">
        <v>62</v>
      </c>
      <c r="Z249" s="313" t="s">
        <v>48</v>
      </c>
      <c r="AA249" s="313" t="s">
        <v>21</v>
      </c>
      <c r="AB249" s="348" t="s">
        <v>690</v>
      </c>
      <c r="AC249" s="297"/>
      <c r="AD249" s="459">
        <f>AD250</f>
        <v>52146.1</v>
      </c>
      <c r="AE249" s="428">
        <f>AE250</f>
        <v>36365</v>
      </c>
      <c r="AF249" s="438">
        <f>AF250</f>
        <v>37856</v>
      </c>
      <c r="AG249" s="19"/>
      <c r="AH249" s="19"/>
      <c r="AI249" s="113"/>
    </row>
    <row r="250" spans="1:35" s="77" customFormat="1" ht="31.5" x14ac:dyDescent="0.25">
      <c r="A250" s="81"/>
      <c r="B250" s="63"/>
      <c r="C250" s="64"/>
      <c r="D250" s="64"/>
      <c r="E250" s="12"/>
      <c r="F250" s="64"/>
      <c r="G250" s="65"/>
      <c r="I250" s="15"/>
      <c r="J250" s="15"/>
      <c r="K250" s="15"/>
      <c r="L250" s="58"/>
      <c r="M250" s="15"/>
      <c r="N250" s="58"/>
      <c r="O250" s="30"/>
      <c r="P250" s="65"/>
      <c r="Q250" s="66"/>
      <c r="R250" s="16"/>
      <c r="S250" s="16"/>
      <c r="T250" s="16"/>
      <c r="U250" s="16"/>
      <c r="V250" s="16"/>
      <c r="X250" s="446" t="s">
        <v>59</v>
      </c>
      <c r="Y250" s="295" t="s">
        <v>62</v>
      </c>
      <c r="Z250" s="313" t="s">
        <v>48</v>
      </c>
      <c r="AA250" s="313" t="s">
        <v>21</v>
      </c>
      <c r="AB250" s="348" t="s">
        <v>690</v>
      </c>
      <c r="AC250" s="297">
        <v>600</v>
      </c>
      <c r="AD250" s="459">
        <f t="shared" si="47"/>
        <v>52146.1</v>
      </c>
      <c r="AE250" s="428">
        <f t="shared" si="47"/>
        <v>36365</v>
      </c>
      <c r="AF250" s="438">
        <f t="shared" si="47"/>
        <v>37856</v>
      </c>
      <c r="AG250" s="19"/>
      <c r="AH250" s="19"/>
      <c r="AI250" s="113"/>
    </row>
    <row r="251" spans="1:35" s="77" customFormat="1" x14ac:dyDescent="0.25">
      <c r="A251" s="81"/>
      <c r="B251" s="63"/>
      <c r="C251" s="64"/>
      <c r="D251" s="64"/>
      <c r="E251" s="12"/>
      <c r="F251" s="64"/>
      <c r="G251" s="65"/>
      <c r="I251" s="15"/>
      <c r="J251" s="15"/>
      <c r="K251" s="15"/>
      <c r="L251" s="58"/>
      <c r="M251" s="15"/>
      <c r="N251" s="58"/>
      <c r="O251" s="30"/>
      <c r="P251" s="65"/>
      <c r="Q251" s="66"/>
      <c r="R251" s="16"/>
      <c r="S251" s="16"/>
      <c r="T251" s="16"/>
      <c r="U251" s="16"/>
      <c r="V251" s="16"/>
      <c r="X251" s="446" t="s">
        <v>60</v>
      </c>
      <c r="Y251" s="295" t="s">
        <v>62</v>
      </c>
      <c r="Z251" s="313" t="s">
        <v>48</v>
      </c>
      <c r="AA251" s="313" t="s">
        <v>21</v>
      </c>
      <c r="AB251" s="348" t="s">
        <v>690</v>
      </c>
      <c r="AC251" s="297">
        <v>610</v>
      </c>
      <c r="AD251" s="459">
        <f>35000+18000-853.9</f>
        <v>52146.1</v>
      </c>
      <c r="AE251" s="428">
        <v>36365</v>
      </c>
      <c r="AF251" s="438">
        <v>37856</v>
      </c>
      <c r="AG251" s="19"/>
      <c r="AH251" s="19"/>
      <c r="AI251" s="113"/>
    </row>
    <row r="252" spans="1:35" s="77" customFormat="1" x14ac:dyDescent="0.25">
      <c r="A252" s="81"/>
      <c r="B252" s="63"/>
      <c r="C252" s="64"/>
      <c r="D252" s="64"/>
      <c r="E252" s="12"/>
      <c r="F252" s="64"/>
      <c r="G252" s="65"/>
      <c r="I252" s="15"/>
      <c r="J252" s="15"/>
      <c r="K252" s="15"/>
      <c r="L252" s="58"/>
      <c r="M252" s="15"/>
      <c r="N252" s="58"/>
      <c r="O252" s="30"/>
      <c r="P252" s="65"/>
      <c r="Q252" s="66"/>
      <c r="R252" s="16"/>
      <c r="S252" s="16"/>
      <c r="T252" s="16"/>
      <c r="U252" s="16"/>
      <c r="V252" s="16"/>
      <c r="X252" s="294" t="s">
        <v>31</v>
      </c>
      <c r="Y252" s="295" t="s">
        <v>62</v>
      </c>
      <c r="Z252" s="315" t="s">
        <v>48</v>
      </c>
      <c r="AA252" s="315">
        <v>10</v>
      </c>
      <c r="AB252" s="354"/>
      <c r="AC252" s="297"/>
      <c r="AD252" s="459">
        <f>AD253</f>
        <v>3822</v>
      </c>
      <c r="AE252" s="428">
        <f t="shared" ref="AD252:AF253" si="48">AE253</f>
        <v>3003</v>
      </c>
      <c r="AF252" s="438">
        <f t="shared" si="48"/>
        <v>0</v>
      </c>
      <c r="AG252" s="19"/>
      <c r="AH252" s="19"/>
      <c r="AI252" s="113"/>
    </row>
    <row r="253" spans="1:35" s="77" customFormat="1" x14ac:dyDescent="0.25">
      <c r="A253" s="81"/>
      <c r="B253" s="63"/>
      <c r="C253" s="64"/>
      <c r="D253" s="64"/>
      <c r="E253" s="12"/>
      <c r="F253" s="64"/>
      <c r="G253" s="65"/>
      <c r="I253" s="15"/>
      <c r="J253" s="15"/>
      <c r="K253" s="15"/>
      <c r="L253" s="58"/>
      <c r="M253" s="15"/>
      <c r="N253" s="58"/>
      <c r="O253" s="30"/>
      <c r="P253" s="65"/>
      <c r="Q253" s="66"/>
      <c r="R253" s="16"/>
      <c r="S253" s="16"/>
      <c r="T253" s="16"/>
      <c r="U253" s="16"/>
      <c r="V253" s="16"/>
      <c r="X253" s="299" t="s">
        <v>231</v>
      </c>
      <c r="Y253" s="295" t="s">
        <v>62</v>
      </c>
      <c r="Z253" s="315" t="s">
        <v>48</v>
      </c>
      <c r="AA253" s="315">
        <v>10</v>
      </c>
      <c r="AB253" s="348" t="s">
        <v>232</v>
      </c>
      <c r="AC253" s="297"/>
      <c r="AD253" s="459">
        <f t="shared" si="48"/>
        <v>3822</v>
      </c>
      <c r="AE253" s="428">
        <f t="shared" si="48"/>
        <v>3003</v>
      </c>
      <c r="AF253" s="438">
        <f t="shared" si="48"/>
        <v>0</v>
      </c>
      <c r="AG253" s="19"/>
      <c r="AH253" s="19"/>
      <c r="AI253" s="113"/>
    </row>
    <row r="254" spans="1:35" s="77" customFormat="1" ht="31.5" x14ac:dyDescent="0.25">
      <c r="A254" s="81"/>
      <c r="B254" s="63"/>
      <c r="C254" s="64"/>
      <c r="D254" s="64"/>
      <c r="E254" s="12"/>
      <c r="F254" s="64"/>
      <c r="G254" s="65"/>
      <c r="I254" s="15"/>
      <c r="J254" s="15"/>
      <c r="K254" s="15"/>
      <c r="L254" s="58"/>
      <c r="M254" s="15"/>
      <c r="N254" s="58"/>
      <c r="O254" s="30"/>
      <c r="P254" s="65"/>
      <c r="Q254" s="66"/>
      <c r="R254" s="16"/>
      <c r="S254" s="16"/>
      <c r="T254" s="16"/>
      <c r="U254" s="16"/>
      <c r="V254" s="16"/>
      <c r="X254" s="299" t="s">
        <v>234</v>
      </c>
      <c r="Y254" s="295" t="s">
        <v>62</v>
      </c>
      <c r="Z254" s="315" t="s">
        <v>48</v>
      </c>
      <c r="AA254" s="315">
        <v>10</v>
      </c>
      <c r="AB254" s="348" t="s">
        <v>235</v>
      </c>
      <c r="AC254" s="305"/>
      <c r="AD254" s="459">
        <f>AD255+AD263+AD259</f>
        <v>3822</v>
      </c>
      <c r="AE254" s="428">
        <f>AE255+AE263+AE259</f>
        <v>3003</v>
      </c>
      <c r="AF254" s="438">
        <f>AF255+AF263+AF259</f>
        <v>0</v>
      </c>
      <c r="AG254" s="19"/>
      <c r="AH254" s="19"/>
      <c r="AI254" s="113"/>
    </row>
    <row r="255" spans="1:35" s="77" customFormat="1" x14ac:dyDescent="0.25">
      <c r="A255" s="81"/>
      <c r="B255" s="63"/>
      <c r="C255" s="64"/>
      <c r="D255" s="64"/>
      <c r="E255" s="12"/>
      <c r="F255" s="64"/>
      <c r="G255" s="65"/>
      <c r="I255" s="15"/>
      <c r="J255" s="15"/>
      <c r="K255" s="15"/>
      <c r="L255" s="58"/>
      <c r="M255" s="15"/>
      <c r="N255" s="58"/>
      <c r="O255" s="30"/>
      <c r="P255" s="65"/>
      <c r="Q255" s="66"/>
      <c r="R255" s="16"/>
      <c r="S255" s="16"/>
      <c r="T255" s="16"/>
      <c r="U255" s="16"/>
      <c r="V255" s="16"/>
      <c r="X255" s="299" t="s">
        <v>367</v>
      </c>
      <c r="Y255" s="295" t="s">
        <v>62</v>
      </c>
      <c r="Z255" s="315" t="s">
        <v>48</v>
      </c>
      <c r="AA255" s="315">
        <v>10</v>
      </c>
      <c r="AB255" s="348" t="s">
        <v>368</v>
      </c>
      <c r="AC255" s="305"/>
      <c r="AD255" s="459">
        <f t="shared" ref="AD255:AF257" si="49">AD256</f>
        <v>3172</v>
      </c>
      <c r="AE255" s="428">
        <f t="shared" si="49"/>
        <v>2593</v>
      </c>
      <c r="AF255" s="438">
        <f t="shared" si="49"/>
        <v>0</v>
      </c>
      <c r="AG255" s="19"/>
      <c r="AH255" s="19"/>
      <c r="AI255" s="113"/>
    </row>
    <row r="256" spans="1:35" s="77" customFormat="1" x14ac:dyDescent="0.25">
      <c r="A256" s="81"/>
      <c r="B256" s="63"/>
      <c r="C256" s="64"/>
      <c r="D256" s="64"/>
      <c r="E256" s="12"/>
      <c r="F256" s="64"/>
      <c r="G256" s="65"/>
      <c r="I256" s="15"/>
      <c r="J256" s="15"/>
      <c r="K256" s="15"/>
      <c r="L256" s="58"/>
      <c r="M256" s="15"/>
      <c r="N256" s="58"/>
      <c r="O256" s="30"/>
      <c r="P256" s="65"/>
      <c r="Q256" s="66"/>
      <c r="R256" s="16"/>
      <c r="S256" s="16"/>
      <c r="T256" s="16"/>
      <c r="U256" s="16"/>
      <c r="V256" s="16"/>
      <c r="X256" s="307" t="s">
        <v>369</v>
      </c>
      <c r="Y256" s="295" t="s">
        <v>62</v>
      </c>
      <c r="Z256" s="315" t="s">
        <v>48</v>
      </c>
      <c r="AA256" s="315">
        <v>10</v>
      </c>
      <c r="AB256" s="348" t="s">
        <v>370</v>
      </c>
      <c r="AC256" s="374"/>
      <c r="AD256" s="459">
        <f t="shared" si="49"/>
        <v>3172</v>
      </c>
      <c r="AE256" s="428">
        <f t="shared" si="49"/>
        <v>2593</v>
      </c>
      <c r="AF256" s="438">
        <f t="shared" si="49"/>
        <v>0</v>
      </c>
      <c r="AG256" s="19"/>
      <c r="AH256" s="19"/>
      <c r="AI256" s="113"/>
    </row>
    <row r="257" spans="1:35" s="77" customFormat="1" x14ac:dyDescent="0.25">
      <c r="A257" s="81"/>
      <c r="B257" s="63"/>
      <c r="C257" s="64"/>
      <c r="D257" s="64"/>
      <c r="E257" s="12"/>
      <c r="F257" s="64"/>
      <c r="G257" s="65"/>
      <c r="I257" s="15"/>
      <c r="J257" s="15"/>
      <c r="K257" s="15"/>
      <c r="L257" s="58"/>
      <c r="M257" s="15"/>
      <c r="N257" s="58"/>
      <c r="O257" s="30"/>
      <c r="P257" s="65"/>
      <c r="Q257" s="66"/>
      <c r="R257" s="16"/>
      <c r="S257" s="16"/>
      <c r="T257" s="16"/>
      <c r="U257" s="16"/>
      <c r="V257" s="16"/>
      <c r="X257" s="294" t="s">
        <v>118</v>
      </c>
      <c r="Y257" s="295" t="s">
        <v>62</v>
      </c>
      <c r="Z257" s="315" t="s">
        <v>48</v>
      </c>
      <c r="AA257" s="315">
        <v>10</v>
      </c>
      <c r="AB257" s="348" t="s">
        <v>370</v>
      </c>
      <c r="AC257" s="297">
        <v>200</v>
      </c>
      <c r="AD257" s="459">
        <f t="shared" si="49"/>
        <v>3172</v>
      </c>
      <c r="AE257" s="428">
        <f t="shared" si="49"/>
        <v>2593</v>
      </c>
      <c r="AF257" s="438">
        <f t="shared" si="49"/>
        <v>0</v>
      </c>
      <c r="AG257" s="19"/>
      <c r="AH257" s="19"/>
      <c r="AI257" s="113"/>
    </row>
    <row r="258" spans="1:35" s="77" customFormat="1" ht="31.5" x14ac:dyDescent="0.25">
      <c r="A258" s="81"/>
      <c r="B258" s="63"/>
      <c r="C258" s="64"/>
      <c r="D258" s="64"/>
      <c r="E258" s="12"/>
      <c r="F258" s="64"/>
      <c r="G258" s="65"/>
      <c r="I258" s="15"/>
      <c r="J258" s="15"/>
      <c r="K258" s="15"/>
      <c r="L258" s="58"/>
      <c r="M258" s="15"/>
      <c r="N258" s="58"/>
      <c r="O258" s="30"/>
      <c r="P258" s="65"/>
      <c r="Q258" s="66"/>
      <c r="R258" s="16"/>
      <c r="S258" s="16"/>
      <c r="T258" s="16"/>
      <c r="U258" s="16"/>
      <c r="V258" s="16"/>
      <c r="X258" s="294" t="s">
        <v>51</v>
      </c>
      <c r="Y258" s="295" t="s">
        <v>62</v>
      </c>
      <c r="Z258" s="315" t="s">
        <v>48</v>
      </c>
      <c r="AA258" s="315">
        <v>10</v>
      </c>
      <c r="AB258" s="348" t="s">
        <v>370</v>
      </c>
      <c r="AC258" s="297">
        <v>240</v>
      </c>
      <c r="AD258" s="459">
        <f>2593+63.5+115.5+400</f>
        <v>3172</v>
      </c>
      <c r="AE258" s="428">
        <v>2593</v>
      </c>
      <c r="AF258" s="438">
        <v>0</v>
      </c>
      <c r="AG258" s="192"/>
      <c r="AH258" s="19"/>
      <c r="AI258" s="113"/>
    </row>
    <row r="259" spans="1:35" s="77" customFormat="1" x14ac:dyDescent="0.25">
      <c r="A259" s="81"/>
      <c r="B259" s="63"/>
      <c r="C259" s="64"/>
      <c r="D259" s="64"/>
      <c r="E259" s="12"/>
      <c r="F259" s="64"/>
      <c r="G259" s="65"/>
      <c r="I259" s="15"/>
      <c r="J259" s="15"/>
      <c r="K259" s="15"/>
      <c r="L259" s="58"/>
      <c r="M259" s="15"/>
      <c r="N259" s="58"/>
      <c r="O259" s="30"/>
      <c r="P259" s="65"/>
      <c r="Q259" s="66"/>
      <c r="R259" s="16"/>
      <c r="S259" s="16"/>
      <c r="T259" s="16"/>
      <c r="U259" s="16"/>
      <c r="V259" s="16"/>
      <c r="X259" s="299" t="s">
        <v>385</v>
      </c>
      <c r="Y259" s="295" t="s">
        <v>62</v>
      </c>
      <c r="Z259" s="315" t="s">
        <v>48</v>
      </c>
      <c r="AA259" s="315">
        <v>10</v>
      </c>
      <c r="AB259" s="348" t="s">
        <v>386</v>
      </c>
      <c r="AC259" s="297"/>
      <c r="AD259" s="459">
        <f t="shared" ref="AD259:AF261" si="50">AD260</f>
        <v>350</v>
      </c>
      <c r="AE259" s="428">
        <f t="shared" si="50"/>
        <v>110</v>
      </c>
      <c r="AF259" s="438">
        <f t="shared" si="50"/>
        <v>0</v>
      </c>
      <c r="AG259" s="19"/>
      <c r="AH259" s="19"/>
      <c r="AI259" s="113"/>
    </row>
    <row r="260" spans="1:35" s="77" customFormat="1" x14ac:dyDescent="0.25">
      <c r="A260" s="81"/>
      <c r="B260" s="63"/>
      <c r="C260" s="64"/>
      <c r="D260" s="64"/>
      <c r="E260" s="12"/>
      <c r="F260" s="64"/>
      <c r="G260" s="65"/>
      <c r="I260" s="15"/>
      <c r="J260" s="15"/>
      <c r="K260" s="15"/>
      <c r="L260" s="58"/>
      <c r="M260" s="15"/>
      <c r="N260" s="58"/>
      <c r="O260" s="30"/>
      <c r="P260" s="65"/>
      <c r="Q260" s="66"/>
      <c r="R260" s="16"/>
      <c r="S260" s="16"/>
      <c r="T260" s="16"/>
      <c r="U260" s="16"/>
      <c r="V260" s="16"/>
      <c r="X260" s="307" t="s">
        <v>387</v>
      </c>
      <c r="Y260" s="295" t="s">
        <v>62</v>
      </c>
      <c r="Z260" s="315" t="s">
        <v>48</v>
      </c>
      <c r="AA260" s="315">
        <v>10</v>
      </c>
      <c r="AB260" s="348" t="s">
        <v>388</v>
      </c>
      <c r="AC260" s="297"/>
      <c r="AD260" s="459">
        <f t="shared" si="50"/>
        <v>350</v>
      </c>
      <c r="AE260" s="428">
        <f t="shared" si="50"/>
        <v>110</v>
      </c>
      <c r="AF260" s="438">
        <f t="shared" si="50"/>
        <v>0</v>
      </c>
      <c r="AG260" s="19"/>
      <c r="AH260" s="19"/>
      <c r="AI260" s="113"/>
    </row>
    <row r="261" spans="1:35" s="77" customFormat="1" x14ac:dyDescent="0.25">
      <c r="A261" s="81"/>
      <c r="B261" s="63"/>
      <c r="C261" s="64"/>
      <c r="D261" s="64"/>
      <c r="E261" s="12"/>
      <c r="F261" s="64"/>
      <c r="G261" s="65"/>
      <c r="I261" s="15"/>
      <c r="J261" s="15"/>
      <c r="K261" s="15"/>
      <c r="L261" s="58"/>
      <c r="M261" s="15"/>
      <c r="N261" s="58"/>
      <c r="O261" s="30"/>
      <c r="P261" s="65"/>
      <c r="Q261" s="66"/>
      <c r="R261" s="16"/>
      <c r="S261" s="16"/>
      <c r="T261" s="16"/>
      <c r="U261" s="16"/>
      <c r="V261" s="16"/>
      <c r="X261" s="294" t="s">
        <v>118</v>
      </c>
      <c r="Y261" s="295" t="s">
        <v>62</v>
      </c>
      <c r="Z261" s="315" t="s">
        <v>48</v>
      </c>
      <c r="AA261" s="315">
        <v>10</v>
      </c>
      <c r="AB261" s="348" t="s">
        <v>388</v>
      </c>
      <c r="AC261" s="297">
        <v>200</v>
      </c>
      <c r="AD261" s="459">
        <f t="shared" si="50"/>
        <v>350</v>
      </c>
      <c r="AE261" s="428">
        <f t="shared" si="50"/>
        <v>110</v>
      </c>
      <c r="AF261" s="438">
        <f t="shared" si="50"/>
        <v>0</v>
      </c>
      <c r="AG261" s="19"/>
      <c r="AH261" s="19"/>
      <c r="AI261" s="113"/>
    </row>
    <row r="262" spans="1:35" s="77" customFormat="1" ht="31.5" x14ac:dyDescent="0.25">
      <c r="A262" s="81"/>
      <c r="B262" s="63"/>
      <c r="C262" s="64"/>
      <c r="D262" s="64"/>
      <c r="E262" s="12"/>
      <c r="F262" s="64"/>
      <c r="G262" s="65"/>
      <c r="I262" s="15"/>
      <c r="J262" s="15"/>
      <c r="K262" s="15"/>
      <c r="L262" s="58"/>
      <c r="M262" s="15"/>
      <c r="N262" s="58"/>
      <c r="O262" s="30"/>
      <c r="P262" s="65"/>
      <c r="Q262" s="66"/>
      <c r="R262" s="16"/>
      <c r="S262" s="16"/>
      <c r="T262" s="16"/>
      <c r="U262" s="16"/>
      <c r="V262" s="16"/>
      <c r="X262" s="294" t="s">
        <v>51</v>
      </c>
      <c r="Y262" s="295" t="s">
        <v>62</v>
      </c>
      <c r="Z262" s="315" t="s">
        <v>48</v>
      </c>
      <c r="AA262" s="315">
        <v>10</v>
      </c>
      <c r="AB262" s="348" t="s">
        <v>388</v>
      </c>
      <c r="AC262" s="297">
        <v>240</v>
      </c>
      <c r="AD262" s="459">
        <f>110+240</f>
        <v>350</v>
      </c>
      <c r="AE262" s="428">
        <v>110</v>
      </c>
      <c r="AF262" s="438">
        <v>0</v>
      </c>
      <c r="AG262" s="19"/>
      <c r="AH262" s="19"/>
      <c r="AI262" s="113"/>
    </row>
    <row r="263" spans="1:35" s="77" customFormat="1" x14ac:dyDescent="0.25">
      <c r="A263" s="81"/>
      <c r="B263" s="63"/>
      <c r="C263" s="64"/>
      <c r="D263" s="64"/>
      <c r="E263" s="12"/>
      <c r="F263" s="64"/>
      <c r="G263" s="65"/>
      <c r="I263" s="15"/>
      <c r="J263" s="15"/>
      <c r="K263" s="15"/>
      <c r="L263" s="58"/>
      <c r="M263" s="15"/>
      <c r="N263" s="58"/>
      <c r="O263" s="30"/>
      <c r="P263" s="65"/>
      <c r="Q263" s="66"/>
      <c r="R263" s="16"/>
      <c r="S263" s="16"/>
      <c r="T263" s="16"/>
      <c r="U263" s="16"/>
      <c r="V263" s="16"/>
      <c r="X263" s="299" t="s">
        <v>371</v>
      </c>
      <c r="Y263" s="295" t="s">
        <v>62</v>
      </c>
      <c r="Z263" s="315" t="s">
        <v>48</v>
      </c>
      <c r="AA263" s="315">
        <v>10</v>
      </c>
      <c r="AB263" s="348" t="s">
        <v>372</v>
      </c>
      <c r="AC263" s="297"/>
      <c r="AD263" s="459">
        <f t="shared" ref="AD263:AF265" si="51">AD264</f>
        <v>300</v>
      </c>
      <c r="AE263" s="428">
        <f t="shared" si="51"/>
        <v>300</v>
      </c>
      <c r="AF263" s="438">
        <f t="shared" si="51"/>
        <v>0</v>
      </c>
      <c r="AG263" s="19"/>
      <c r="AH263" s="19"/>
      <c r="AI263" s="113"/>
    </row>
    <row r="264" spans="1:35" s="77" customFormat="1" x14ac:dyDescent="0.25">
      <c r="A264" s="81"/>
      <c r="B264" s="63"/>
      <c r="C264" s="64"/>
      <c r="D264" s="64"/>
      <c r="E264" s="12"/>
      <c r="F264" s="64"/>
      <c r="G264" s="65"/>
      <c r="I264" s="15"/>
      <c r="J264" s="15"/>
      <c r="K264" s="15"/>
      <c r="L264" s="58"/>
      <c r="M264" s="15"/>
      <c r="N264" s="58"/>
      <c r="O264" s="30"/>
      <c r="P264" s="65"/>
      <c r="Q264" s="66"/>
      <c r="R264" s="16"/>
      <c r="S264" s="16"/>
      <c r="T264" s="16"/>
      <c r="U264" s="16"/>
      <c r="V264" s="16"/>
      <c r="X264" s="307" t="s">
        <v>373</v>
      </c>
      <c r="Y264" s="295" t="s">
        <v>62</v>
      </c>
      <c r="Z264" s="315" t="s">
        <v>48</v>
      </c>
      <c r="AA264" s="315">
        <v>10</v>
      </c>
      <c r="AB264" s="348" t="s">
        <v>374</v>
      </c>
      <c r="AC264" s="297"/>
      <c r="AD264" s="459">
        <f t="shared" si="51"/>
        <v>300</v>
      </c>
      <c r="AE264" s="428">
        <f t="shared" si="51"/>
        <v>300</v>
      </c>
      <c r="AF264" s="438">
        <f t="shared" si="51"/>
        <v>0</v>
      </c>
      <c r="AG264" s="19"/>
      <c r="AH264" s="19"/>
      <c r="AI264" s="113"/>
    </row>
    <row r="265" spans="1:35" s="77" customFormat="1" x14ac:dyDescent="0.25">
      <c r="A265" s="81"/>
      <c r="B265" s="63"/>
      <c r="C265" s="64"/>
      <c r="D265" s="64"/>
      <c r="E265" s="12"/>
      <c r="F265" s="64"/>
      <c r="G265" s="65"/>
      <c r="I265" s="15"/>
      <c r="J265" s="15"/>
      <c r="K265" s="15"/>
      <c r="L265" s="58"/>
      <c r="M265" s="15"/>
      <c r="N265" s="58"/>
      <c r="O265" s="30"/>
      <c r="P265" s="65"/>
      <c r="Q265" s="66"/>
      <c r="R265" s="16"/>
      <c r="S265" s="16"/>
      <c r="T265" s="16"/>
      <c r="U265" s="16"/>
      <c r="V265" s="16"/>
      <c r="X265" s="294" t="s">
        <v>118</v>
      </c>
      <c r="Y265" s="295" t="s">
        <v>62</v>
      </c>
      <c r="Z265" s="315" t="s">
        <v>48</v>
      </c>
      <c r="AA265" s="315">
        <v>10</v>
      </c>
      <c r="AB265" s="348" t="s">
        <v>374</v>
      </c>
      <c r="AC265" s="297">
        <v>200</v>
      </c>
      <c r="AD265" s="459">
        <f t="shared" si="51"/>
        <v>300</v>
      </c>
      <c r="AE265" s="428">
        <f t="shared" si="51"/>
        <v>300</v>
      </c>
      <c r="AF265" s="438">
        <f t="shared" si="51"/>
        <v>0</v>
      </c>
      <c r="AG265" s="19"/>
      <c r="AH265" s="19"/>
      <c r="AI265" s="113"/>
    </row>
    <row r="266" spans="1:35" s="77" customFormat="1" ht="31.5" x14ac:dyDescent="0.25">
      <c r="A266" s="81"/>
      <c r="B266" s="63"/>
      <c r="C266" s="64"/>
      <c r="D266" s="64"/>
      <c r="E266" s="12"/>
      <c r="F266" s="64"/>
      <c r="G266" s="65"/>
      <c r="I266" s="15"/>
      <c r="J266" s="15"/>
      <c r="K266" s="15"/>
      <c r="L266" s="58"/>
      <c r="M266" s="15"/>
      <c r="N266" s="58"/>
      <c r="O266" s="30"/>
      <c r="P266" s="65"/>
      <c r="Q266" s="66"/>
      <c r="R266" s="16"/>
      <c r="S266" s="16"/>
      <c r="T266" s="16"/>
      <c r="U266" s="16"/>
      <c r="V266" s="16"/>
      <c r="X266" s="294" t="s">
        <v>51</v>
      </c>
      <c r="Y266" s="295" t="s">
        <v>62</v>
      </c>
      <c r="Z266" s="315" t="s">
        <v>48</v>
      </c>
      <c r="AA266" s="315">
        <v>10</v>
      </c>
      <c r="AB266" s="348" t="s">
        <v>374</v>
      </c>
      <c r="AC266" s="297">
        <v>240</v>
      </c>
      <c r="AD266" s="459">
        <v>300</v>
      </c>
      <c r="AE266" s="428">
        <v>300</v>
      </c>
      <c r="AF266" s="438">
        <v>0</v>
      </c>
      <c r="AG266" s="19"/>
      <c r="AH266" s="19"/>
      <c r="AI266" s="113"/>
    </row>
    <row r="267" spans="1:35" s="77" customFormat="1" x14ac:dyDescent="0.25">
      <c r="A267" s="82"/>
      <c r="B267" s="20"/>
      <c r="C267" s="1"/>
      <c r="D267" s="1"/>
      <c r="E267" s="2"/>
      <c r="F267" s="2"/>
      <c r="G267" s="83"/>
      <c r="I267" s="15"/>
      <c r="J267" s="15"/>
      <c r="K267" s="15"/>
      <c r="L267" s="58"/>
      <c r="M267" s="15"/>
      <c r="N267" s="58"/>
      <c r="O267" s="30"/>
      <c r="P267" s="65"/>
      <c r="Q267" s="66"/>
      <c r="R267" s="16"/>
      <c r="S267" s="16"/>
      <c r="T267" s="16"/>
      <c r="U267" s="16"/>
      <c r="V267" s="16"/>
      <c r="X267" s="294" t="s">
        <v>50</v>
      </c>
      <c r="Y267" s="295" t="s">
        <v>62</v>
      </c>
      <c r="Z267" s="296" t="s">
        <v>48</v>
      </c>
      <c r="AA267" s="296">
        <v>12</v>
      </c>
      <c r="AB267" s="349"/>
      <c r="AC267" s="297"/>
      <c r="AD267" s="459">
        <f>AD268+AD277</f>
        <v>1484.7</v>
      </c>
      <c r="AE267" s="459">
        <f>AE268+AE277</f>
        <v>377</v>
      </c>
      <c r="AF267" s="459">
        <f>AF268+AF277</f>
        <v>377</v>
      </c>
      <c r="AG267" s="19"/>
      <c r="AH267" s="19"/>
      <c r="AI267" s="113"/>
    </row>
    <row r="268" spans="1:35" s="77" customFormat="1" ht="31.5" x14ac:dyDescent="0.25">
      <c r="A268" s="14"/>
      <c r="B268" s="63"/>
      <c r="C268" s="64"/>
      <c r="D268" s="64"/>
      <c r="E268" s="12"/>
      <c r="F268" s="12"/>
      <c r="G268" s="16"/>
      <c r="I268" s="15"/>
      <c r="J268" s="15"/>
      <c r="K268" s="15"/>
      <c r="L268" s="58"/>
      <c r="M268" s="15"/>
      <c r="N268" s="58"/>
      <c r="O268" s="30"/>
      <c r="P268" s="65"/>
      <c r="Q268" s="66"/>
      <c r="R268" s="16"/>
      <c r="S268" s="16"/>
      <c r="T268" s="16"/>
      <c r="U268" s="16"/>
      <c r="V268" s="16"/>
      <c r="X268" s="299" t="s">
        <v>159</v>
      </c>
      <c r="Y268" s="295" t="s">
        <v>62</v>
      </c>
      <c r="Z268" s="296" t="s">
        <v>48</v>
      </c>
      <c r="AA268" s="296">
        <v>12</v>
      </c>
      <c r="AB268" s="347" t="s">
        <v>100</v>
      </c>
      <c r="AC268" s="297"/>
      <c r="AD268" s="459">
        <f t="shared" ref="AD268:AF269" si="52">AD269</f>
        <v>984.7</v>
      </c>
      <c r="AE268" s="428">
        <f t="shared" si="52"/>
        <v>377</v>
      </c>
      <c r="AF268" s="438">
        <f t="shared" si="52"/>
        <v>377</v>
      </c>
      <c r="AG268" s="19"/>
      <c r="AH268" s="19"/>
      <c r="AI268" s="113"/>
    </row>
    <row r="269" spans="1:35" s="77" customFormat="1" x14ac:dyDescent="0.25">
      <c r="A269" s="14"/>
      <c r="B269" s="63"/>
      <c r="C269" s="64"/>
      <c r="D269" s="64"/>
      <c r="E269" s="12"/>
      <c r="F269" s="12"/>
      <c r="G269" s="16"/>
      <c r="I269" s="15"/>
      <c r="J269" s="15"/>
      <c r="K269" s="15"/>
      <c r="L269" s="58"/>
      <c r="M269" s="15"/>
      <c r="N269" s="58"/>
      <c r="O269" s="30"/>
      <c r="P269" s="65"/>
      <c r="Q269" s="66"/>
      <c r="R269" s="16"/>
      <c r="S269" s="16"/>
      <c r="T269" s="16"/>
      <c r="U269" s="16"/>
      <c r="V269" s="16"/>
      <c r="X269" s="299" t="s">
        <v>160</v>
      </c>
      <c r="Y269" s="295" t="s">
        <v>62</v>
      </c>
      <c r="Z269" s="296" t="s">
        <v>48</v>
      </c>
      <c r="AA269" s="296">
        <v>12</v>
      </c>
      <c r="AB269" s="347" t="s">
        <v>104</v>
      </c>
      <c r="AC269" s="297"/>
      <c r="AD269" s="459">
        <f t="shared" si="52"/>
        <v>984.7</v>
      </c>
      <c r="AE269" s="428">
        <f t="shared" si="52"/>
        <v>377</v>
      </c>
      <c r="AF269" s="438">
        <f t="shared" si="52"/>
        <v>377</v>
      </c>
      <c r="AG269" s="19"/>
      <c r="AH269" s="19"/>
      <c r="AI269" s="113"/>
    </row>
    <row r="270" spans="1:35" s="77" customFormat="1" x14ac:dyDescent="0.25">
      <c r="A270" s="14"/>
      <c r="B270" s="63"/>
      <c r="C270" s="64"/>
      <c r="D270" s="64"/>
      <c r="E270" s="12"/>
      <c r="F270" s="12"/>
      <c r="G270" s="16"/>
      <c r="I270" s="15"/>
      <c r="J270" s="15"/>
      <c r="K270" s="15"/>
      <c r="L270" s="58"/>
      <c r="M270" s="15"/>
      <c r="N270" s="58"/>
      <c r="O270" s="30"/>
      <c r="P270" s="65"/>
      <c r="Q270" s="66"/>
      <c r="R270" s="16"/>
      <c r="S270" s="16"/>
      <c r="T270" s="16"/>
      <c r="U270" s="16"/>
      <c r="V270" s="16"/>
      <c r="X270" s="452" t="s">
        <v>523</v>
      </c>
      <c r="Y270" s="295" t="s">
        <v>62</v>
      </c>
      <c r="Z270" s="296" t="s">
        <v>48</v>
      </c>
      <c r="AA270" s="296">
        <v>12</v>
      </c>
      <c r="AB270" s="347" t="s">
        <v>331</v>
      </c>
      <c r="AC270" s="314"/>
      <c r="AD270" s="459">
        <f>AD271+AD274</f>
        <v>984.7</v>
      </c>
      <c r="AE270" s="428">
        <f>AE271+AE274</f>
        <v>377</v>
      </c>
      <c r="AF270" s="438">
        <f>AF271+AF274</f>
        <v>377</v>
      </c>
      <c r="AG270" s="19"/>
      <c r="AH270" s="19"/>
      <c r="AI270" s="113"/>
    </row>
    <row r="271" spans="1:35" s="77" customFormat="1" x14ac:dyDescent="0.25">
      <c r="A271" s="14"/>
      <c r="B271" s="63"/>
      <c r="C271" s="64"/>
      <c r="D271" s="64"/>
      <c r="E271" s="12"/>
      <c r="F271" s="12"/>
      <c r="G271" s="16"/>
      <c r="I271" s="15"/>
      <c r="J271" s="15"/>
      <c r="K271" s="15"/>
      <c r="L271" s="58"/>
      <c r="M271" s="15"/>
      <c r="N271" s="58"/>
      <c r="O271" s="30"/>
      <c r="P271" s="65"/>
      <c r="Q271" s="66"/>
      <c r="R271" s="16"/>
      <c r="S271" s="16"/>
      <c r="T271" s="16"/>
      <c r="U271" s="16"/>
      <c r="V271" s="16"/>
      <c r="X271" s="307" t="s">
        <v>244</v>
      </c>
      <c r="Y271" s="295" t="s">
        <v>62</v>
      </c>
      <c r="Z271" s="296" t="s">
        <v>48</v>
      </c>
      <c r="AA271" s="296">
        <v>12</v>
      </c>
      <c r="AB271" s="348" t="s">
        <v>330</v>
      </c>
      <c r="AC271" s="323"/>
      <c r="AD271" s="459">
        <f t="shared" ref="AD271:AF272" si="53">AD272</f>
        <v>607.70000000000005</v>
      </c>
      <c r="AE271" s="428">
        <f t="shared" si="53"/>
        <v>0</v>
      </c>
      <c r="AF271" s="438">
        <f t="shared" si="53"/>
        <v>0</v>
      </c>
      <c r="AG271" s="19"/>
      <c r="AH271" s="19"/>
      <c r="AI271" s="113"/>
    </row>
    <row r="272" spans="1:35" s="77" customFormat="1" x14ac:dyDescent="0.25">
      <c r="A272" s="14"/>
      <c r="B272" s="63"/>
      <c r="C272" s="64"/>
      <c r="D272" s="64"/>
      <c r="E272" s="12"/>
      <c r="F272" s="12"/>
      <c r="G272" s="16"/>
      <c r="I272" s="15"/>
      <c r="J272" s="15"/>
      <c r="K272" s="15"/>
      <c r="L272" s="58"/>
      <c r="M272" s="15"/>
      <c r="N272" s="58"/>
      <c r="O272" s="30"/>
      <c r="P272" s="65"/>
      <c r="Q272" s="66"/>
      <c r="R272" s="16"/>
      <c r="S272" s="16"/>
      <c r="T272" s="16"/>
      <c r="U272" s="16"/>
      <c r="V272" s="16"/>
      <c r="X272" s="294" t="s">
        <v>118</v>
      </c>
      <c r="Y272" s="295" t="s">
        <v>62</v>
      </c>
      <c r="Z272" s="296" t="s">
        <v>48</v>
      </c>
      <c r="AA272" s="296">
        <v>12</v>
      </c>
      <c r="AB272" s="348" t="s">
        <v>330</v>
      </c>
      <c r="AC272" s="297">
        <v>200</v>
      </c>
      <c r="AD272" s="459">
        <f t="shared" si="53"/>
        <v>607.70000000000005</v>
      </c>
      <c r="AE272" s="428">
        <f t="shared" si="53"/>
        <v>0</v>
      </c>
      <c r="AF272" s="438">
        <f t="shared" si="53"/>
        <v>0</v>
      </c>
      <c r="AG272" s="194"/>
      <c r="AH272" s="19"/>
      <c r="AI272" s="113"/>
    </row>
    <row r="273" spans="1:35" s="77" customFormat="1" ht="31.5" x14ac:dyDescent="0.25">
      <c r="A273" s="14"/>
      <c r="B273" s="63"/>
      <c r="C273" s="64"/>
      <c r="D273" s="64"/>
      <c r="E273" s="12"/>
      <c r="F273" s="12"/>
      <c r="G273" s="16"/>
      <c r="I273" s="15"/>
      <c r="J273" s="15"/>
      <c r="K273" s="15"/>
      <c r="L273" s="58"/>
      <c r="M273" s="15"/>
      <c r="N273" s="58"/>
      <c r="O273" s="30"/>
      <c r="P273" s="65"/>
      <c r="Q273" s="66"/>
      <c r="R273" s="16"/>
      <c r="S273" s="16"/>
      <c r="T273" s="16"/>
      <c r="U273" s="16"/>
      <c r="V273" s="16"/>
      <c r="X273" s="294" t="s">
        <v>51</v>
      </c>
      <c r="Y273" s="295" t="s">
        <v>62</v>
      </c>
      <c r="Z273" s="296" t="s">
        <v>48</v>
      </c>
      <c r="AA273" s="296">
        <v>12</v>
      </c>
      <c r="AB273" s="348" t="s">
        <v>330</v>
      </c>
      <c r="AC273" s="297">
        <v>240</v>
      </c>
      <c r="AD273" s="459">
        <v>607.70000000000005</v>
      </c>
      <c r="AE273" s="428">
        <v>0</v>
      </c>
      <c r="AF273" s="438">
        <v>0</v>
      </c>
      <c r="AG273" s="19"/>
      <c r="AH273" s="19"/>
      <c r="AI273" s="113"/>
    </row>
    <row r="274" spans="1:35" s="77" customFormat="1" ht="47.25" x14ac:dyDescent="0.25">
      <c r="A274" s="14"/>
      <c r="B274" s="63"/>
      <c r="C274" s="64"/>
      <c r="D274" s="64"/>
      <c r="E274" s="12"/>
      <c r="F274" s="12"/>
      <c r="G274" s="16"/>
      <c r="I274" s="15"/>
      <c r="J274" s="15"/>
      <c r="K274" s="15"/>
      <c r="L274" s="58"/>
      <c r="M274" s="15"/>
      <c r="N274" s="58"/>
      <c r="O274" s="30"/>
      <c r="P274" s="65"/>
      <c r="Q274" s="66"/>
      <c r="R274" s="16"/>
      <c r="S274" s="16"/>
      <c r="T274" s="16"/>
      <c r="U274" s="16"/>
      <c r="V274" s="16"/>
      <c r="X274" s="294" t="s">
        <v>355</v>
      </c>
      <c r="Y274" s="295" t="s">
        <v>62</v>
      </c>
      <c r="Z274" s="296" t="s">
        <v>48</v>
      </c>
      <c r="AA274" s="296">
        <v>12</v>
      </c>
      <c r="AB274" s="347" t="s">
        <v>354</v>
      </c>
      <c r="AC274" s="297"/>
      <c r="AD274" s="459">
        <f t="shared" ref="AD274:AF275" si="54">AD275</f>
        <v>377</v>
      </c>
      <c r="AE274" s="428">
        <f t="shared" si="54"/>
        <v>377</v>
      </c>
      <c r="AF274" s="438">
        <f t="shared" si="54"/>
        <v>377</v>
      </c>
      <c r="AG274" s="19"/>
      <c r="AH274" s="19"/>
      <c r="AI274" s="113"/>
    </row>
    <row r="275" spans="1:35" s="77" customFormat="1" x14ac:dyDescent="0.25">
      <c r="A275" s="14"/>
      <c r="B275" s="63"/>
      <c r="C275" s="64"/>
      <c r="D275" s="64"/>
      <c r="E275" s="12"/>
      <c r="F275" s="12"/>
      <c r="G275" s="16"/>
      <c r="I275" s="15"/>
      <c r="J275" s="15"/>
      <c r="K275" s="15"/>
      <c r="L275" s="58"/>
      <c r="M275" s="15"/>
      <c r="N275" s="58"/>
      <c r="O275" s="30"/>
      <c r="P275" s="65"/>
      <c r="Q275" s="66"/>
      <c r="R275" s="16"/>
      <c r="S275" s="16"/>
      <c r="T275" s="16"/>
      <c r="U275" s="16"/>
      <c r="V275" s="16"/>
      <c r="X275" s="294" t="s">
        <v>118</v>
      </c>
      <c r="Y275" s="295" t="s">
        <v>62</v>
      </c>
      <c r="Z275" s="296" t="s">
        <v>48</v>
      </c>
      <c r="AA275" s="296">
        <v>12</v>
      </c>
      <c r="AB275" s="347" t="s">
        <v>354</v>
      </c>
      <c r="AC275" s="297">
        <v>200</v>
      </c>
      <c r="AD275" s="459">
        <f t="shared" si="54"/>
        <v>377</v>
      </c>
      <c r="AE275" s="428">
        <f t="shared" si="54"/>
        <v>377</v>
      </c>
      <c r="AF275" s="438">
        <f t="shared" si="54"/>
        <v>377</v>
      </c>
      <c r="AG275" s="19"/>
      <c r="AH275" s="19"/>
      <c r="AI275" s="113"/>
    </row>
    <row r="276" spans="1:35" s="77" customFormat="1" ht="31.5" x14ac:dyDescent="0.25">
      <c r="A276" s="14"/>
      <c r="B276" s="63"/>
      <c r="C276" s="64"/>
      <c r="D276" s="64"/>
      <c r="E276" s="12"/>
      <c r="F276" s="12"/>
      <c r="G276" s="16"/>
      <c r="I276" s="15"/>
      <c r="J276" s="15"/>
      <c r="K276" s="15"/>
      <c r="L276" s="58"/>
      <c r="M276" s="15"/>
      <c r="N276" s="58"/>
      <c r="O276" s="30"/>
      <c r="P276" s="65"/>
      <c r="Q276" s="66"/>
      <c r="R276" s="16"/>
      <c r="S276" s="16"/>
      <c r="T276" s="16"/>
      <c r="U276" s="16"/>
      <c r="V276" s="16"/>
      <c r="X276" s="294" t="s">
        <v>51</v>
      </c>
      <c r="Y276" s="295" t="s">
        <v>62</v>
      </c>
      <c r="Z276" s="296" t="s">
        <v>48</v>
      </c>
      <c r="AA276" s="296">
        <v>12</v>
      </c>
      <c r="AB276" s="347" t="s">
        <v>354</v>
      </c>
      <c r="AC276" s="297">
        <v>240</v>
      </c>
      <c r="AD276" s="459">
        <v>377</v>
      </c>
      <c r="AE276" s="428">
        <v>377</v>
      </c>
      <c r="AF276" s="438">
        <v>377</v>
      </c>
      <c r="AG276" s="19"/>
      <c r="AH276" s="19"/>
      <c r="AI276" s="113"/>
    </row>
    <row r="277" spans="1:35" s="77" customFormat="1" x14ac:dyDescent="0.25">
      <c r="A277" s="14"/>
      <c r="B277" s="63"/>
      <c r="C277" s="64"/>
      <c r="D277" s="64"/>
      <c r="E277" s="12"/>
      <c r="F277" s="12"/>
      <c r="G277" s="16"/>
      <c r="I277" s="15"/>
      <c r="J277" s="15"/>
      <c r="K277" s="15"/>
      <c r="L277" s="58"/>
      <c r="M277" s="15"/>
      <c r="N277" s="58"/>
      <c r="O277" s="30"/>
      <c r="P277" s="65"/>
      <c r="Q277" s="66"/>
      <c r="R277" s="16"/>
      <c r="S277" s="16"/>
      <c r="T277" s="16"/>
      <c r="U277" s="16"/>
      <c r="V277" s="16"/>
      <c r="X277" s="498" t="s">
        <v>866</v>
      </c>
      <c r="Y277" s="9" t="s">
        <v>62</v>
      </c>
      <c r="Z277" s="1" t="s">
        <v>48</v>
      </c>
      <c r="AA277" s="1">
        <v>12</v>
      </c>
      <c r="AB277" s="329" t="s">
        <v>867</v>
      </c>
      <c r="AC277" s="331"/>
      <c r="AD277" s="459">
        <f>AD278</f>
        <v>500</v>
      </c>
      <c r="AE277" s="459">
        <f t="shared" ref="AE277:AF281" si="55">AE278</f>
        <v>0</v>
      </c>
      <c r="AF277" s="459">
        <f t="shared" si="55"/>
        <v>0</v>
      </c>
      <c r="AG277" s="19"/>
      <c r="AH277" s="19"/>
      <c r="AI277" s="113"/>
    </row>
    <row r="278" spans="1:35" s="77" customFormat="1" x14ac:dyDescent="0.25">
      <c r="A278" s="14"/>
      <c r="B278" s="63"/>
      <c r="C278" s="64"/>
      <c r="D278" s="64"/>
      <c r="E278" s="12"/>
      <c r="F278" s="12"/>
      <c r="G278" s="16"/>
      <c r="I278" s="15"/>
      <c r="J278" s="15"/>
      <c r="K278" s="15"/>
      <c r="L278" s="58"/>
      <c r="M278" s="15"/>
      <c r="N278" s="58"/>
      <c r="O278" s="30"/>
      <c r="P278" s="65"/>
      <c r="Q278" s="66"/>
      <c r="R278" s="16"/>
      <c r="S278" s="16"/>
      <c r="T278" s="16"/>
      <c r="U278" s="16"/>
      <c r="V278" s="16"/>
      <c r="X278" s="330" t="s">
        <v>868</v>
      </c>
      <c r="Y278" s="9" t="s">
        <v>62</v>
      </c>
      <c r="Z278" s="1" t="s">
        <v>48</v>
      </c>
      <c r="AA278" s="1">
        <v>12</v>
      </c>
      <c r="AB278" s="329" t="s">
        <v>869</v>
      </c>
      <c r="AC278" s="331"/>
      <c r="AD278" s="459">
        <f>AD279</f>
        <v>500</v>
      </c>
      <c r="AE278" s="459">
        <f t="shared" si="55"/>
        <v>0</v>
      </c>
      <c r="AF278" s="459">
        <f t="shared" si="55"/>
        <v>0</v>
      </c>
      <c r="AG278" s="19"/>
      <c r="AH278" s="19"/>
      <c r="AI278" s="113"/>
    </row>
    <row r="279" spans="1:35" s="77" customFormat="1" ht="31.5" x14ac:dyDescent="0.25">
      <c r="A279" s="14"/>
      <c r="B279" s="63"/>
      <c r="C279" s="64"/>
      <c r="D279" s="64"/>
      <c r="E279" s="12"/>
      <c r="F279" s="12"/>
      <c r="G279" s="16"/>
      <c r="I279" s="15"/>
      <c r="J279" s="15"/>
      <c r="K279" s="15"/>
      <c r="L279" s="58"/>
      <c r="M279" s="15"/>
      <c r="N279" s="58"/>
      <c r="O279" s="30"/>
      <c r="P279" s="65"/>
      <c r="Q279" s="66"/>
      <c r="R279" s="16"/>
      <c r="S279" s="16"/>
      <c r="T279" s="16"/>
      <c r="U279" s="16"/>
      <c r="V279" s="16"/>
      <c r="X279" s="330" t="s">
        <v>870</v>
      </c>
      <c r="Y279" s="9" t="s">
        <v>62</v>
      </c>
      <c r="Z279" s="1" t="s">
        <v>48</v>
      </c>
      <c r="AA279" s="1">
        <v>12</v>
      </c>
      <c r="AB279" s="329" t="s">
        <v>871</v>
      </c>
      <c r="AC279" s="331"/>
      <c r="AD279" s="459">
        <f>AD280</f>
        <v>500</v>
      </c>
      <c r="AE279" s="459">
        <f t="shared" si="55"/>
        <v>0</v>
      </c>
      <c r="AF279" s="459">
        <f t="shared" si="55"/>
        <v>0</v>
      </c>
      <c r="AG279" s="19"/>
      <c r="AH279" s="19"/>
      <c r="AI279" s="113"/>
    </row>
    <row r="280" spans="1:35" s="77" customFormat="1" x14ac:dyDescent="0.25">
      <c r="A280" s="14"/>
      <c r="B280" s="63"/>
      <c r="C280" s="64"/>
      <c r="D280" s="64"/>
      <c r="E280" s="12"/>
      <c r="F280" s="12"/>
      <c r="G280" s="16"/>
      <c r="I280" s="15"/>
      <c r="J280" s="15"/>
      <c r="K280" s="15"/>
      <c r="L280" s="58"/>
      <c r="M280" s="15"/>
      <c r="N280" s="58"/>
      <c r="O280" s="30"/>
      <c r="P280" s="65"/>
      <c r="Q280" s="66"/>
      <c r="R280" s="16"/>
      <c r="S280" s="16"/>
      <c r="T280" s="16"/>
      <c r="U280" s="16"/>
      <c r="V280" s="16"/>
      <c r="X280" s="330" t="s">
        <v>872</v>
      </c>
      <c r="Y280" s="9" t="s">
        <v>62</v>
      </c>
      <c r="Z280" s="1" t="s">
        <v>48</v>
      </c>
      <c r="AA280" s="1">
        <v>12</v>
      </c>
      <c r="AB280" s="329" t="s">
        <v>873</v>
      </c>
      <c r="AC280" s="331"/>
      <c r="AD280" s="459">
        <f>AD281</f>
        <v>500</v>
      </c>
      <c r="AE280" s="459">
        <f t="shared" si="55"/>
        <v>0</v>
      </c>
      <c r="AF280" s="459">
        <f t="shared" si="55"/>
        <v>0</v>
      </c>
      <c r="AG280" s="19"/>
      <c r="AH280" s="19"/>
      <c r="AI280" s="113"/>
    </row>
    <row r="281" spans="1:35" s="77" customFormat="1" x14ac:dyDescent="0.25">
      <c r="A281" s="14"/>
      <c r="B281" s="63"/>
      <c r="C281" s="64"/>
      <c r="D281" s="64"/>
      <c r="E281" s="12"/>
      <c r="F281" s="12"/>
      <c r="G281" s="16"/>
      <c r="I281" s="15"/>
      <c r="J281" s="15"/>
      <c r="K281" s="15"/>
      <c r="L281" s="58"/>
      <c r="M281" s="15"/>
      <c r="N281" s="58"/>
      <c r="O281" s="30"/>
      <c r="P281" s="65"/>
      <c r="Q281" s="66"/>
      <c r="R281" s="16"/>
      <c r="S281" s="16"/>
      <c r="T281" s="16"/>
      <c r="U281" s="16"/>
      <c r="V281" s="16"/>
      <c r="X281" s="330" t="s">
        <v>41</v>
      </c>
      <c r="Y281" s="9" t="s">
        <v>62</v>
      </c>
      <c r="Z281" s="1" t="s">
        <v>48</v>
      </c>
      <c r="AA281" s="1">
        <v>12</v>
      </c>
      <c r="AB281" s="329" t="s">
        <v>873</v>
      </c>
      <c r="AC281" s="331">
        <v>800</v>
      </c>
      <c r="AD281" s="459">
        <f>AD282</f>
        <v>500</v>
      </c>
      <c r="AE281" s="459">
        <f t="shared" si="55"/>
        <v>0</v>
      </c>
      <c r="AF281" s="459">
        <f t="shared" si="55"/>
        <v>0</v>
      </c>
      <c r="AG281" s="19"/>
      <c r="AH281" s="19"/>
      <c r="AI281" s="113"/>
    </row>
    <row r="282" spans="1:35" s="77" customFormat="1" ht="31.5" x14ac:dyDescent="0.25">
      <c r="A282" s="14"/>
      <c r="B282" s="63"/>
      <c r="C282" s="64"/>
      <c r="D282" s="64"/>
      <c r="E282" s="12"/>
      <c r="F282" s="12"/>
      <c r="G282" s="16"/>
      <c r="I282" s="15"/>
      <c r="J282" s="15"/>
      <c r="K282" s="15"/>
      <c r="L282" s="58"/>
      <c r="M282" s="15"/>
      <c r="N282" s="58"/>
      <c r="O282" s="30"/>
      <c r="P282" s="65"/>
      <c r="Q282" s="66"/>
      <c r="R282" s="16"/>
      <c r="S282" s="16"/>
      <c r="T282" s="16"/>
      <c r="U282" s="16"/>
      <c r="V282" s="16"/>
      <c r="X282" s="330" t="s">
        <v>119</v>
      </c>
      <c r="Y282" s="9" t="s">
        <v>62</v>
      </c>
      <c r="Z282" s="1" t="s">
        <v>48</v>
      </c>
      <c r="AA282" s="1">
        <v>12</v>
      </c>
      <c r="AB282" s="329" t="s">
        <v>873</v>
      </c>
      <c r="AC282" s="331">
        <v>810</v>
      </c>
      <c r="AD282" s="459">
        <v>500</v>
      </c>
      <c r="AE282" s="459">
        <v>0</v>
      </c>
      <c r="AF282" s="489">
        <v>0</v>
      </c>
      <c r="AG282" s="19"/>
      <c r="AH282" s="19"/>
      <c r="AI282" s="113"/>
    </row>
    <row r="283" spans="1:35" s="62" customFormat="1" x14ac:dyDescent="0.25">
      <c r="A283" s="84"/>
      <c r="B283" s="54"/>
      <c r="C283" s="56"/>
      <c r="D283" s="56"/>
      <c r="E283" s="57"/>
      <c r="F283" s="56"/>
      <c r="G283" s="61"/>
      <c r="I283" s="85"/>
      <c r="J283" s="85"/>
      <c r="K283" s="85"/>
      <c r="L283" s="58"/>
      <c r="M283" s="85"/>
      <c r="N283" s="58"/>
      <c r="O283" s="86"/>
      <c r="P283" s="58"/>
      <c r="Q283" s="60"/>
      <c r="R283" s="61"/>
      <c r="S283" s="61"/>
      <c r="T283" s="61"/>
      <c r="U283" s="61"/>
      <c r="V283" s="61"/>
      <c r="X283" s="445" t="s">
        <v>2</v>
      </c>
      <c r="Y283" s="291" t="s">
        <v>62</v>
      </c>
      <c r="Z283" s="312" t="s">
        <v>4</v>
      </c>
      <c r="AA283" s="312"/>
      <c r="AB283" s="345"/>
      <c r="AC283" s="293"/>
      <c r="AD283" s="458">
        <f>AD284+AD304+AD297</f>
        <v>380798.60000000003</v>
      </c>
      <c r="AE283" s="458">
        <f>AE284+AE304+AE297</f>
        <v>302552</v>
      </c>
      <c r="AF283" s="458">
        <f>AF284+AF304+AF297</f>
        <v>314804</v>
      </c>
      <c r="AG283" s="142"/>
      <c r="AH283" s="142"/>
      <c r="AI283" s="113"/>
    </row>
    <row r="284" spans="1:35" s="62" customFormat="1" x14ac:dyDescent="0.25">
      <c r="A284" s="84"/>
      <c r="B284" s="54"/>
      <c r="C284" s="56"/>
      <c r="D284" s="56"/>
      <c r="E284" s="57"/>
      <c r="F284" s="56"/>
      <c r="G284" s="61"/>
      <c r="I284" s="85"/>
      <c r="J284" s="85"/>
      <c r="K284" s="85"/>
      <c r="L284" s="58"/>
      <c r="M284" s="85"/>
      <c r="N284" s="58"/>
      <c r="O284" s="86"/>
      <c r="P284" s="58"/>
      <c r="Q284" s="60"/>
      <c r="R284" s="61"/>
      <c r="S284" s="61"/>
      <c r="T284" s="61"/>
      <c r="U284" s="61"/>
      <c r="V284" s="61"/>
      <c r="X284" s="294" t="s">
        <v>68</v>
      </c>
      <c r="Y284" s="295" t="s">
        <v>62</v>
      </c>
      <c r="Z284" s="296" t="s">
        <v>4</v>
      </c>
      <c r="AA284" s="296" t="s">
        <v>28</v>
      </c>
      <c r="AB284" s="347"/>
      <c r="AC284" s="293"/>
      <c r="AD284" s="459">
        <f>AD285+AD291</f>
        <v>26967.7</v>
      </c>
      <c r="AE284" s="428">
        <f>AE285+AE291</f>
        <v>8300</v>
      </c>
      <c r="AF284" s="438">
        <f>AF285+AF291</f>
        <v>8300</v>
      </c>
      <c r="AG284" s="19"/>
      <c r="AH284" s="19"/>
      <c r="AI284" s="113"/>
    </row>
    <row r="285" spans="1:35" s="62" customFormat="1" x14ac:dyDescent="0.25">
      <c r="A285" s="84"/>
      <c r="B285" s="54"/>
      <c r="C285" s="56"/>
      <c r="D285" s="56"/>
      <c r="E285" s="57"/>
      <c r="F285" s="56"/>
      <c r="G285" s="61"/>
      <c r="I285" s="85"/>
      <c r="J285" s="85"/>
      <c r="K285" s="85"/>
      <c r="L285" s="58"/>
      <c r="M285" s="85"/>
      <c r="N285" s="58"/>
      <c r="O285" s="86"/>
      <c r="P285" s="58"/>
      <c r="Q285" s="60"/>
      <c r="R285" s="61"/>
      <c r="S285" s="61"/>
      <c r="T285" s="61"/>
      <c r="U285" s="61"/>
      <c r="V285" s="61"/>
      <c r="X285" s="299" t="s">
        <v>184</v>
      </c>
      <c r="Y285" s="295" t="s">
        <v>62</v>
      </c>
      <c r="Z285" s="296" t="s">
        <v>4</v>
      </c>
      <c r="AA285" s="296" t="s">
        <v>28</v>
      </c>
      <c r="AB285" s="348" t="s">
        <v>110</v>
      </c>
      <c r="AC285" s="293"/>
      <c r="AD285" s="459">
        <f t="shared" ref="AD285:AF289" si="56">AD286</f>
        <v>23503.7</v>
      </c>
      <c r="AE285" s="428">
        <f t="shared" si="56"/>
        <v>8300</v>
      </c>
      <c r="AF285" s="438">
        <f t="shared" si="56"/>
        <v>8300</v>
      </c>
      <c r="AG285" s="19"/>
      <c r="AH285" s="19"/>
      <c r="AI285" s="113"/>
    </row>
    <row r="286" spans="1:35" s="62" customFormat="1" x14ac:dyDescent="0.25">
      <c r="A286" s="84"/>
      <c r="B286" s="54"/>
      <c r="C286" s="56"/>
      <c r="D286" s="56"/>
      <c r="E286" s="57"/>
      <c r="F286" s="56"/>
      <c r="G286" s="61"/>
      <c r="I286" s="85"/>
      <c r="J286" s="85"/>
      <c r="K286" s="85"/>
      <c r="L286" s="58"/>
      <c r="M286" s="85"/>
      <c r="N286" s="58"/>
      <c r="O286" s="86"/>
      <c r="P286" s="58"/>
      <c r="Q286" s="60"/>
      <c r="R286" s="61"/>
      <c r="S286" s="61"/>
      <c r="T286" s="61"/>
      <c r="U286" s="61"/>
      <c r="V286" s="61"/>
      <c r="X286" s="451" t="s">
        <v>525</v>
      </c>
      <c r="Y286" s="295" t="s">
        <v>62</v>
      </c>
      <c r="Z286" s="296" t="s">
        <v>4</v>
      </c>
      <c r="AA286" s="296" t="s">
        <v>28</v>
      </c>
      <c r="AB286" s="348" t="s">
        <v>111</v>
      </c>
      <c r="AC286" s="293"/>
      <c r="AD286" s="459">
        <f t="shared" ref="AD286:AF287" si="57">AD287</f>
        <v>23503.7</v>
      </c>
      <c r="AE286" s="428">
        <f t="shared" si="57"/>
        <v>8300</v>
      </c>
      <c r="AF286" s="438">
        <f t="shared" si="57"/>
        <v>8300</v>
      </c>
      <c r="AG286" s="19"/>
      <c r="AH286" s="19"/>
      <c r="AI286" s="113"/>
    </row>
    <row r="287" spans="1:35" s="62" customFormat="1" ht="31.5" x14ac:dyDescent="0.25">
      <c r="A287" s="84"/>
      <c r="B287" s="54"/>
      <c r="C287" s="56"/>
      <c r="D287" s="56"/>
      <c r="E287" s="57"/>
      <c r="F287" s="56"/>
      <c r="G287" s="61"/>
      <c r="I287" s="85"/>
      <c r="J287" s="85"/>
      <c r="K287" s="85"/>
      <c r="L287" s="58"/>
      <c r="M287" s="85"/>
      <c r="N287" s="58"/>
      <c r="O287" s="86"/>
      <c r="P287" s="58"/>
      <c r="Q287" s="60"/>
      <c r="R287" s="61"/>
      <c r="S287" s="61"/>
      <c r="T287" s="61"/>
      <c r="U287" s="61"/>
      <c r="V287" s="61"/>
      <c r="X287" s="307" t="s">
        <v>180</v>
      </c>
      <c r="Y287" s="295" t="s">
        <v>62</v>
      </c>
      <c r="Z287" s="296" t="s">
        <v>4</v>
      </c>
      <c r="AA287" s="296" t="s">
        <v>28</v>
      </c>
      <c r="AB287" s="348" t="s">
        <v>181</v>
      </c>
      <c r="AC287" s="293"/>
      <c r="AD287" s="459">
        <f t="shared" si="57"/>
        <v>23503.7</v>
      </c>
      <c r="AE287" s="428">
        <f t="shared" si="57"/>
        <v>8300</v>
      </c>
      <c r="AF287" s="438">
        <f t="shared" si="57"/>
        <v>8300</v>
      </c>
      <c r="AG287" s="19"/>
      <c r="AH287" s="19"/>
      <c r="AI287" s="113"/>
    </row>
    <row r="288" spans="1:35" s="62" customFormat="1" ht="31.5" x14ac:dyDescent="0.25">
      <c r="A288" s="108" t="s">
        <v>182</v>
      </c>
      <c r="B288" s="9" t="s">
        <v>58</v>
      </c>
      <c r="C288" s="1" t="s">
        <v>28</v>
      </c>
      <c r="D288" s="1">
        <v>13</v>
      </c>
      <c r="E288" s="106" t="s">
        <v>183</v>
      </c>
      <c r="F288" s="56"/>
      <c r="G288" s="61"/>
      <c r="I288" s="85"/>
      <c r="J288" s="85"/>
      <c r="K288" s="85"/>
      <c r="L288" s="58"/>
      <c r="M288" s="85"/>
      <c r="N288" s="58"/>
      <c r="O288" s="86"/>
      <c r="P288" s="58"/>
      <c r="Q288" s="60"/>
      <c r="R288" s="61"/>
      <c r="S288" s="61"/>
      <c r="T288" s="61"/>
      <c r="U288" s="61"/>
      <c r="V288" s="61"/>
      <c r="X288" s="307" t="s">
        <v>428</v>
      </c>
      <c r="Y288" s="295" t="s">
        <v>62</v>
      </c>
      <c r="Z288" s="296" t="s">
        <v>4</v>
      </c>
      <c r="AA288" s="296" t="s">
        <v>28</v>
      </c>
      <c r="AB288" s="348" t="s">
        <v>381</v>
      </c>
      <c r="AC288" s="293"/>
      <c r="AD288" s="459">
        <f t="shared" si="56"/>
        <v>23503.7</v>
      </c>
      <c r="AE288" s="428">
        <f t="shared" si="56"/>
        <v>8300</v>
      </c>
      <c r="AF288" s="438">
        <f t="shared" si="56"/>
        <v>8300</v>
      </c>
      <c r="AG288" s="19"/>
      <c r="AH288" s="19"/>
      <c r="AI288" s="113"/>
    </row>
    <row r="289" spans="1:35" s="62" customFormat="1" x14ac:dyDescent="0.25">
      <c r="A289" s="84"/>
      <c r="B289" s="54"/>
      <c r="C289" s="56"/>
      <c r="D289" s="56"/>
      <c r="E289" s="57"/>
      <c r="F289" s="56"/>
      <c r="G289" s="61"/>
      <c r="I289" s="85"/>
      <c r="J289" s="85"/>
      <c r="K289" s="85"/>
      <c r="L289" s="58"/>
      <c r="M289" s="85"/>
      <c r="N289" s="58"/>
      <c r="O289" s="86"/>
      <c r="P289" s="58"/>
      <c r="Q289" s="60"/>
      <c r="R289" s="61"/>
      <c r="S289" s="61"/>
      <c r="T289" s="61"/>
      <c r="U289" s="61"/>
      <c r="V289" s="61"/>
      <c r="X289" s="294" t="s">
        <v>118</v>
      </c>
      <c r="Y289" s="295" t="s">
        <v>62</v>
      </c>
      <c r="Z289" s="296" t="s">
        <v>4</v>
      </c>
      <c r="AA289" s="296" t="s">
        <v>28</v>
      </c>
      <c r="AB289" s="348" t="s">
        <v>381</v>
      </c>
      <c r="AC289" s="316">
        <v>200</v>
      </c>
      <c r="AD289" s="459">
        <f t="shared" si="56"/>
        <v>23503.7</v>
      </c>
      <c r="AE289" s="428">
        <f t="shared" si="56"/>
        <v>8300</v>
      </c>
      <c r="AF289" s="438">
        <f t="shared" si="56"/>
        <v>8300</v>
      </c>
      <c r="AG289" s="19"/>
      <c r="AH289" s="19"/>
      <c r="AI289" s="113"/>
    </row>
    <row r="290" spans="1:35" s="62" customFormat="1" ht="31.5" x14ac:dyDescent="0.25">
      <c r="A290" s="84"/>
      <c r="B290" s="54"/>
      <c r="C290" s="56"/>
      <c r="D290" s="56"/>
      <c r="E290" s="57"/>
      <c r="F290" s="56"/>
      <c r="G290" s="61"/>
      <c r="I290" s="85"/>
      <c r="J290" s="85"/>
      <c r="K290" s="85"/>
      <c r="L290" s="58"/>
      <c r="M290" s="85"/>
      <c r="N290" s="58"/>
      <c r="O290" s="86"/>
      <c r="P290" s="58"/>
      <c r="Q290" s="60"/>
      <c r="R290" s="61"/>
      <c r="S290" s="61"/>
      <c r="T290" s="61"/>
      <c r="U290" s="61"/>
      <c r="V290" s="61"/>
      <c r="X290" s="294" t="s">
        <v>51</v>
      </c>
      <c r="Y290" s="295" t="s">
        <v>62</v>
      </c>
      <c r="Z290" s="296" t="s">
        <v>4</v>
      </c>
      <c r="AA290" s="296" t="s">
        <v>28</v>
      </c>
      <c r="AB290" s="348" t="s">
        <v>381</v>
      </c>
      <c r="AC290" s="316">
        <v>240</v>
      </c>
      <c r="AD290" s="459">
        <f>22100+1403.7</f>
        <v>23503.7</v>
      </c>
      <c r="AE290" s="428">
        <v>8300</v>
      </c>
      <c r="AF290" s="438">
        <v>8300</v>
      </c>
      <c r="AG290" s="19"/>
      <c r="AH290" s="19"/>
      <c r="AI290" s="113"/>
    </row>
    <row r="291" spans="1:35" s="90" customFormat="1" x14ac:dyDescent="0.25">
      <c r="A291" s="87"/>
      <c r="B291" s="88"/>
      <c r="C291" s="89"/>
      <c r="D291" s="89"/>
      <c r="E291" s="89"/>
      <c r="F291" s="89"/>
      <c r="G291" s="89"/>
      <c r="I291" s="91"/>
      <c r="J291" s="91"/>
      <c r="K291" s="91"/>
      <c r="L291" s="91"/>
      <c r="M291" s="91"/>
      <c r="N291" s="91"/>
      <c r="O291" s="92"/>
      <c r="P291" s="93"/>
      <c r="R291" s="94"/>
      <c r="S291" s="95"/>
      <c r="X291" s="299" t="s">
        <v>240</v>
      </c>
      <c r="Y291" s="295" t="s">
        <v>62</v>
      </c>
      <c r="Z291" s="296" t="s">
        <v>4</v>
      </c>
      <c r="AA291" s="296" t="s">
        <v>28</v>
      </c>
      <c r="AB291" s="348" t="s">
        <v>241</v>
      </c>
      <c r="AC291" s="323"/>
      <c r="AD291" s="459">
        <f>AD292</f>
        <v>3464</v>
      </c>
      <c r="AE291" s="428">
        <f>AE294</f>
        <v>0</v>
      </c>
      <c r="AF291" s="438">
        <f>AF294</f>
        <v>0</v>
      </c>
      <c r="AG291" s="19"/>
      <c r="AH291" s="19"/>
      <c r="AI291" s="113"/>
    </row>
    <row r="292" spans="1:35" s="90" customFormat="1" ht="31.5" x14ac:dyDescent="0.25">
      <c r="A292" s="87"/>
      <c r="B292" s="88"/>
      <c r="C292" s="89"/>
      <c r="D292" s="89"/>
      <c r="E292" s="89"/>
      <c r="F292" s="89"/>
      <c r="G292" s="89"/>
      <c r="I292" s="91"/>
      <c r="J292" s="91"/>
      <c r="K292" s="91"/>
      <c r="L292" s="91"/>
      <c r="M292" s="91"/>
      <c r="N292" s="91"/>
      <c r="O292" s="92"/>
      <c r="P292" s="93"/>
      <c r="R292" s="94"/>
      <c r="S292" s="95"/>
      <c r="X292" s="299" t="s">
        <v>535</v>
      </c>
      <c r="Y292" s="295" t="s">
        <v>62</v>
      </c>
      <c r="Z292" s="296" t="s">
        <v>4</v>
      </c>
      <c r="AA292" s="296" t="s">
        <v>28</v>
      </c>
      <c r="AB292" s="348" t="s">
        <v>242</v>
      </c>
      <c r="AC292" s="323"/>
      <c r="AD292" s="459">
        <f>AD293</f>
        <v>3464</v>
      </c>
      <c r="AE292" s="428">
        <f>AE293</f>
        <v>0</v>
      </c>
      <c r="AF292" s="438">
        <f>AF293</f>
        <v>0</v>
      </c>
      <c r="AG292" s="19"/>
      <c r="AH292" s="19"/>
      <c r="AI292" s="113"/>
    </row>
    <row r="293" spans="1:35" s="90" customFormat="1" ht="31.5" x14ac:dyDescent="0.25">
      <c r="A293" s="87"/>
      <c r="B293" s="88"/>
      <c r="C293" s="89"/>
      <c r="D293" s="89"/>
      <c r="E293" s="89"/>
      <c r="F293" s="89"/>
      <c r="G293" s="89"/>
      <c r="I293" s="91"/>
      <c r="J293" s="91"/>
      <c r="K293" s="91"/>
      <c r="L293" s="91"/>
      <c r="M293" s="91"/>
      <c r="N293" s="91"/>
      <c r="O293" s="92"/>
      <c r="P293" s="93"/>
      <c r="R293" s="94"/>
      <c r="S293" s="95"/>
      <c r="X293" s="299" t="s">
        <v>672</v>
      </c>
      <c r="Y293" s="295" t="s">
        <v>62</v>
      </c>
      <c r="Z293" s="296" t="s">
        <v>4</v>
      </c>
      <c r="AA293" s="296" t="s">
        <v>28</v>
      </c>
      <c r="AB293" s="348" t="s">
        <v>537</v>
      </c>
      <c r="AC293" s="323"/>
      <c r="AD293" s="459">
        <f>AD294</f>
        <v>3464</v>
      </c>
      <c r="AE293" s="428">
        <f>AE294</f>
        <v>0</v>
      </c>
      <c r="AF293" s="438">
        <f>AF294</f>
        <v>0</v>
      </c>
      <c r="AG293" s="19"/>
      <c r="AH293" s="19"/>
      <c r="AI293" s="113"/>
    </row>
    <row r="294" spans="1:35" s="90" customFormat="1" x14ac:dyDescent="0.25">
      <c r="A294" s="87"/>
      <c r="B294" s="88"/>
      <c r="C294" s="89"/>
      <c r="D294" s="89"/>
      <c r="E294" s="89"/>
      <c r="F294" s="89"/>
      <c r="G294" s="89"/>
      <c r="I294" s="91"/>
      <c r="J294" s="91"/>
      <c r="K294" s="91"/>
      <c r="L294" s="91"/>
      <c r="M294" s="91"/>
      <c r="N294" s="91"/>
      <c r="O294" s="92"/>
      <c r="P294" s="93"/>
      <c r="R294" s="94"/>
      <c r="S294" s="95"/>
      <c r="X294" s="307" t="s">
        <v>596</v>
      </c>
      <c r="Y294" s="295" t="s">
        <v>62</v>
      </c>
      <c r="Z294" s="296" t="s">
        <v>4</v>
      </c>
      <c r="AA294" s="296" t="s">
        <v>28</v>
      </c>
      <c r="AB294" s="348" t="s">
        <v>671</v>
      </c>
      <c r="AC294" s="314"/>
      <c r="AD294" s="459">
        <f t="shared" ref="AD294:AF295" si="58">AD295</f>
        <v>3464</v>
      </c>
      <c r="AE294" s="428">
        <f t="shared" si="58"/>
        <v>0</v>
      </c>
      <c r="AF294" s="438">
        <f t="shared" si="58"/>
        <v>0</v>
      </c>
      <c r="AG294" s="19"/>
      <c r="AH294" s="19"/>
      <c r="AI294" s="113"/>
    </row>
    <row r="295" spans="1:35" s="90" customFormat="1" x14ac:dyDescent="0.25">
      <c r="A295" s="87"/>
      <c r="B295" s="88"/>
      <c r="C295" s="89"/>
      <c r="D295" s="89"/>
      <c r="E295" s="89"/>
      <c r="F295" s="89"/>
      <c r="G295" s="89"/>
      <c r="I295" s="91"/>
      <c r="J295" s="91"/>
      <c r="K295" s="91"/>
      <c r="L295" s="91"/>
      <c r="M295" s="91"/>
      <c r="N295" s="91"/>
      <c r="O295" s="92"/>
      <c r="P295" s="93"/>
      <c r="R295" s="94"/>
      <c r="S295" s="95"/>
      <c r="X295" s="294" t="s">
        <v>41</v>
      </c>
      <c r="Y295" s="295" t="s">
        <v>62</v>
      </c>
      <c r="Z295" s="296" t="s">
        <v>4</v>
      </c>
      <c r="AA295" s="296" t="s">
        <v>28</v>
      </c>
      <c r="AB295" s="348" t="s">
        <v>671</v>
      </c>
      <c r="AC295" s="314" t="s">
        <v>342</v>
      </c>
      <c r="AD295" s="459">
        <f t="shared" si="58"/>
        <v>3464</v>
      </c>
      <c r="AE295" s="428">
        <f t="shared" si="58"/>
        <v>0</v>
      </c>
      <c r="AF295" s="438">
        <f t="shared" si="58"/>
        <v>0</v>
      </c>
      <c r="AG295" s="19"/>
      <c r="AH295" s="19"/>
      <c r="AI295" s="113"/>
    </row>
    <row r="296" spans="1:35" s="90" customFormat="1" ht="31.5" x14ac:dyDescent="0.25">
      <c r="A296" s="87"/>
      <c r="B296" s="88"/>
      <c r="C296" s="89"/>
      <c r="D296" s="89"/>
      <c r="E296" s="89"/>
      <c r="F296" s="89"/>
      <c r="G296" s="89"/>
      <c r="I296" s="91"/>
      <c r="J296" s="91"/>
      <c r="K296" s="91"/>
      <c r="L296" s="91"/>
      <c r="M296" s="91"/>
      <c r="N296" s="91"/>
      <c r="O296" s="92"/>
      <c r="P296" s="93"/>
      <c r="R296" s="94"/>
      <c r="S296" s="95"/>
      <c r="X296" s="294" t="s">
        <v>119</v>
      </c>
      <c r="Y296" s="295" t="s">
        <v>62</v>
      </c>
      <c r="Z296" s="296" t="s">
        <v>4</v>
      </c>
      <c r="AA296" s="296" t="s">
        <v>28</v>
      </c>
      <c r="AB296" s="348" t="s">
        <v>671</v>
      </c>
      <c r="AC296" s="314" t="s">
        <v>343</v>
      </c>
      <c r="AD296" s="459">
        <f>4464-1000</f>
        <v>3464</v>
      </c>
      <c r="AE296" s="428">
        <v>0</v>
      </c>
      <c r="AF296" s="438">
        <v>0</v>
      </c>
      <c r="AG296" s="19"/>
      <c r="AH296" s="19"/>
      <c r="AI296" s="113"/>
    </row>
    <row r="297" spans="1:35" s="90" customFormat="1" x14ac:dyDescent="0.25">
      <c r="A297" s="87"/>
      <c r="B297" s="88"/>
      <c r="C297" s="89"/>
      <c r="D297" s="89"/>
      <c r="E297" s="89"/>
      <c r="F297" s="89"/>
      <c r="G297" s="89"/>
      <c r="I297" s="91"/>
      <c r="J297" s="91"/>
      <c r="K297" s="91"/>
      <c r="L297" s="91"/>
      <c r="M297" s="91"/>
      <c r="N297" s="91"/>
      <c r="O297" s="92"/>
      <c r="P297" s="93"/>
      <c r="R297" s="94"/>
      <c r="S297" s="95"/>
      <c r="X297" s="294" t="s">
        <v>321</v>
      </c>
      <c r="Y297" s="295" t="s">
        <v>62</v>
      </c>
      <c r="Z297" s="296" t="s">
        <v>4</v>
      </c>
      <c r="AA297" s="296" t="s">
        <v>29</v>
      </c>
      <c r="AB297" s="318"/>
      <c r="AC297" s="314"/>
      <c r="AD297" s="459">
        <f t="shared" ref="AD297:AD302" si="59">AD298</f>
        <v>16500</v>
      </c>
      <c r="AE297" s="459">
        <f t="shared" ref="AE297:AF300" si="60">AE298</f>
        <v>0</v>
      </c>
      <c r="AF297" s="459">
        <f t="shared" si="60"/>
        <v>0</v>
      </c>
      <c r="AG297" s="19"/>
      <c r="AH297" s="19"/>
      <c r="AI297" s="113"/>
    </row>
    <row r="298" spans="1:35" s="90" customFormat="1" ht="31.5" x14ac:dyDescent="0.25">
      <c r="A298" s="87"/>
      <c r="B298" s="88"/>
      <c r="C298" s="89"/>
      <c r="D298" s="89"/>
      <c r="E298" s="89"/>
      <c r="F298" s="89"/>
      <c r="G298" s="89"/>
      <c r="I298" s="91"/>
      <c r="J298" s="91"/>
      <c r="K298" s="91"/>
      <c r="L298" s="91"/>
      <c r="M298" s="91"/>
      <c r="N298" s="91"/>
      <c r="O298" s="92"/>
      <c r="P298" s="93"/>
      <c r="R298" s="94"/>
      <c r="S298" s="95"/>
      <c r="X298" s="294" t="s">
        <v>576</v>
      </c>
      <c r="Y298" s="295" t="s">
        <v>62</v>
      </c>
      <c r="Z298" s="296" t="s">
        <v>4</v>
      </c>
      <c r="AA298" s="296" t="s">
        <v>29</v>
      </c>
      <c r="AB298" s="348" t="s">
        <v>109</v>
      </c>
      <c r="AC298" s="314"/>
      <c r="AD298" s="459">
        <f t="shared" si="59"/>
        <v>16500</v>
      </c>
      <c r="AE298" s="459">
        <f t="shared" si="60"/>
        <v>0</v>
      </c>
      <c r="AF298" s="459">
        <f t="shared" si="60"/>
        <v>0</v>
      </c>
      <c r="AG298" s="19"/>
      <c r="AH298" s="19"/>
      <c r="AI298" s="113"/>
    </row>
    <row r="299" spans="1:35" s="90" customFormat="1" x14ac:dyDescent="0.25">
      <c r="A299" s="87"/>
      <c r="B299" s="88"/>
      <c r="C299" s="89"/>
      <c r="D299" s="89"/>
      <c r="E299" s="89"/>
      <c r="F299" s="89"/>
      <c r="G299" s="89"/>
      <c r="I299" s="91"/>
      <c r="J299" s="91"/>
      <c r="K299" s="91"/>
      <c r="L299" s="91"/>
      <c r="M299" s="91"/>
      <c r="N299" s="91"/>
      <c r="O299" s="92"/>
      <c r="P299" s="93"/>
      <c r="R299" s="94"/>
      <c r="S299" s="95"/>
      <c r="X299" s="294" t="s">
        <v>654</v>
      </c>
      <c r="Y299" s="295" t="s">
        <v>62</v>
      </c>
      <c r="Z299" s="296" t="s">
        <v>4</v>
      </c>
      <c r="AA299" s="296" t="s">
        <v>29</v>
      </c>
      <c r="AB299" s="348" t="s">
        <v>655</v>
      </c>
      <c r="AC299" s="314"/>
      <c r="AD299" s="459">
        <f t="shared" si="59"/>
        <v>16500</v>
      </c>
      <c r="AE299" s="459">
        <f t="shared" si="60"/>
        <v>0</v>
      </c>
      <c r="AF299" s="459">
        <f t="shared" si="60"/>
        <v>0</v>
      </c>
      <c r="AG299" s="19"/>
      <c r="AH299" s="19"/>
      <c r="AI299" s="113"/>
    </row>
    <row r="300" spans="1:35" s="90" customFormat="1" ht="31.5" x14ac:dyDescent="0.25">
      <c r="A300" s="87"/>
      <c r="B300" s="88"/>
      <c r="C300" s="89"/>
      <c r="D300" s="89"/>
      <c r="E300" s="89"/>
      <c r="F300" s="89"/>
      <c r="G300" s="89"/>
      <c r="I300" s="91"/>
      <c r="J300" s="91"/>
      <c r="K300" s="91"/>
      <c r="L300" s="91"/>
      <c r="M300" s="91"/>
      <c r="N300" s="91"/>
      <c r="O300" s="92"/>
      <c r="P300" s="93"/>
      <c r="R300" s="94"/>
      <c r="S300" s="95"/>
      <c r="X300" s="294" t="s">
        <v>657</v>
      </c>
      <c r="Y300" s="295" t="s">
        <v>62</v>
      </c>
      <c r="Z300" s="296" t="s">
        <v>4</v>
      </c>
      <c r="AA300" s="296" t="s">
        <v>29</v>
      </c>
      <c r="AB300" s="348" t="s">
        <v>656</v>
      </c>
      <c r="AC300" s="314"/>
      <c r="AD300" s="459">
        <f t="shared" si="59"/>
        <v>16500</v>
      </c>
      <c r="AE300" s="459">
        <f t="shared" si="60"/>
        <v>0</v>
      </c>
      <c r="AF300" s="459">
        <f t="shared" si="60"/>
        <v>0</v>
      </c>
      <c r="AG300" s="19"/>
      <c r="AH300" s="19"/>
      <c r="AI300" s="113"/>
    </row>
    <row r="301" spans="1:35" s="90" customFormat="1" x14ac:dyDescent="0.25">
      <c r="A301" s="87"/>
      <c r="B301" s="88"/>
      <c r="C301" s="89"/>
      <c r="D301" s="89"/>
      <c r="E301" s="89"/>
      <c r="F301" s="89"/>
      <c r="G301" s="89"/>
      <c r="I301" s="91"/>
      <c r="J301" s="91"/>
      <c r="K301" s="91"/>
      <c r="L301" s="91"/>
      <c r="M301" s="91"/>
      <c r="N301" s="91"/>
      <c r="O301" s="92"/>
      <c r="P301" s="93"/>
      <c r="R301" s="94"/>
      <c r="S301" s="95"/>
      <c r="X301" s="294" t="s">
        <v>658</v>
      </c>
      <c r="Y301" s="295" t="s">
        <v>62</v>
      </c>
      <c r="Z301" s="296" t="s">
        <v>4</v>
      </c>
      <c r="AA301" s="296" t="s">
        <v>29</v>
      </c>
      <c r="AB301" s="348" t="s">
        <v>659</v>
      </c>
      <c r="AC301" s="314"/>
      <c r="AD301" s="459">
        <f t="shared" si="59"/>
        <v>16500</v>
      </c>
      <c r="AE301" s="459">
        <f>AE302</f>
        <v>0</v>
      </c>
      <c r="AF301" s="459">
        <f>AF302</f>
        <v>0</v>
      </c>
      <c r="AG301" s="19"/>
      <c r="AH301" s="19"/>
      <c r="AI301" s="113"/>
    </row>
    <row r="302" spans="1:35" s="90" customFormat="1" x14ac:dyDescent="0.25">
      <c r="A302" s="87"/>
      <c r="B302" s="88"/>
      <c r="C302" s="89"/>
      <c r="D302" s="89"/>
      <c r="E302" s="89"/>
      <c r="F302" s="89"/>
      <c r="G302" s="89"/>
      <c r="I302" s="91"/>
      <c r="J302" s="91"/>
      <c r="K302" s="91"/>
      <c r="L302" s="91"/>
      <c r="M302" s="91"/>
      <c r="N302" s="91"/>
      <c r="O302" s="92"/>
      <c r="P302" s="93"/>
      <c r="R302" s="94"/>
      <c r="S302" s="95"/>
      <c r="X302" s="255" t="s">
        <v>41</v>
      </c>
      <c r="Y302" s="295" t="s">
        <v>62</v>
      </c>
      <c r="Z302" s="296" t="s">
        <v>4</v>
      </c>
      <c r="AA302" s="296" t="s">
        <v>29</v>
      </c>
      <c r="AB302" s="348" t="s">
        <v>659</v>
      </c>
      <c r="AC302" s="127" t="s">
        <v>342</v>
      </c>
      <c r="AD302" s="459">
        <f t="shared" si="59"/>
        <v>16500</v>
      </c>
      <c r="AE302" s="459">
        <f>AE303</f>
        <v>0</v>
      </c>
      <c r="AF302" s="459">
        <f>AF303</f>
        <v>0</v>
      </c>
      <c r="AG302" s="19"/>
      <c r="AH302" s="19"/>
      <c r="AI302" s="113"/>
    </row>
    <row r="303" spans="1:35" s="90" customFormat="1" ht="31.5" x14ac:dyDescent="0.25">
      <c r="A303" s="87"/>
      <c r="B303" s="88"/>
      <c r="C303" s="89"/>
      <c r="D303" s="89"/>
      <c r="E303" s="89"/>
      <c r="F303" s="89"/>
      <c r="G303" s="89"/>
      <c r="I303" s="91"/>
      <c r="J303" s="91"/>
      <c r="K303" s="91"/>
      <c r="L303" s="91"/>
      <c r="M303" s="91"/>
      <c r="N303" s="91"/>
      <c r="O303" s="92"/>
      <c r="P303" s="93"/>
      <c r="R303" s="94"/>
      <c r="S303" s="95"/>
      <c r="X303" s="255" t="s">
        <v>119</v>
      </c>
      <c r="Y303" s="295" t="s">
        <v>62</v>
      </c>
      <c r="Z303" s="296" t="s">
        <v>4</v>
      </c>
      <c r="AA303" s="296" t="s">
        <v>29</v>
      </c>
      <c r="AB303" s="348" t="s">
        <v>659</v>
      </c>
      <c r="AC303" s="127" t="s">
        <v>343</v>
      </c>
      <c r="AD303" s="459">
        <v>16500</v>
      </c>
      <c r="AE303" s="428">
        <v>0</v>
      </c>
      <c r="AF303" s="438">
        <v>0</v>
      </c>
      <c r="AG303" s="19"/>
      <c r="AH303" s="19"/>
      <c r="AI303" s="113"/>
    </row>
    <row r="304" spans="1:35" s="62" customFormat="1" x14ac:dyDescent="0.25">
      <c r="A304" s="84"/>
      <c r="B304" s="54"/>
      <c r="C304" s="56"/>
      <c r="D304" s="56"/>
      <c r="E304" s="57"/>
      <c r="F304" s="56"/>
      <c r="G304" s="61"/>
      <c r="I304" s="85"/>
      <c r="J304" s="85"/>
      <c r="K304" s="85"/>
      <c r="L304" s="58"/>
      <c r="M304" s="85"/>
      <c r="N304" s="58"/>
      <c r="O304" s="86"/>
      <c r="P304" s="58"/>
      <c r="Q304" s="60"/>
      <c r="R304" s="61"/>
      <c r="S304" s="61"/>
      <c r="T304" s="61"/>
      <c r="U304" s="61"/>
      <c r="V304" s="61"/>
      <c r="X304" s="294" t="s">
        <v>17</v>
      </c>
      <c r="Y304" s="295" t="s">
        <v>62</v>
      </c>
      <c r="Z304" s="296" t="s">
        <v>4</v>
      </c>
      <c r="AA304" s="296" t="s">
        <v>6</v>
      </c>
      <c r="AB304" s="351"/>
      <c r="AC304" s="314"/>
      <c r="AD304" s="459">
        <f>AD325+AD305+AD337+AD331+AD318</f>
        <v>337330.9</v>
      </c>
      <c r="AE304" s="459">
        <f>AE325+AE305+AE337+AE331+AE318</f>
        <v>294252</v>
      </c>
      <c r="AF304" s="459">
        <f>AF325+AF305+AF337+AF331+AF318</f>
        <v>306504</v>
      </c>
      <c r="AG304" s="19"/>
      <c r="AH304" s="19"/>
      <c r="AI304" s="113"/>
    </row>
    <row r="305" spans="1:35" s="62" customFormat="1" ht="31.5" x14ac:dyDescent="0.25">
      <c r="A305" s="84"/>
      <c r="B305" s="54"/>
      <c r="C305" s="56"/>
      <c r="D305" s="56"/>
      <c r="E305" s="57"/>
      <c r="F305" s="56"/>
      <c r="G305" s="61"/>
      <c r="I305" s="85"/>
      <c r="J305" s="85"/>
      <c r="K305" s="85"/>
      <c r="L305" s="58"/>
      <c r="M305" s="85"/>
      <c r="N305" s="58"/>
      <c r="O305" s="86"/>
      <c r="P305" s="58"/>
      <c r="Q305" s="60"/>
      <c r="R305" s="61"/>
      <c r="S305" s="61"/>
      <c r="T305" s="61"/>
      <c r="U305" s="61"/>
      <c r="V305" s="61"/>
      <c r="X305" s="301" t="s">
        <v>159</v>
      </c>
      <c r="Y305" s="295" t="s">
        <v>62</v>
      </c>
      <c r="Z305" s="296" t="s">
        <v>4</v>
      </c>
      <c r="AA305" s="296" t="s">
        <v>6</v>
      </c>
      <c r="AB305" s="347" t="s">
        <v>100</v>
      </c>
      <c r="AC305" s="314"/>
      <c r="AD305" s="459">
        <f t="shared" ref="AD305:AF306" si="61">AD306</f>
        <v>20879.8</v>
      </c>
      <c r="AE305" s="428">
        <f t="shared" si="61"/>
        <v>4741</v>
      </c>
      <c r="AF305" s="438">
        <f t="shared" si="61"/>
        <v>4741</v>
      </c>
      <c r="AG305" s="19"/>
      <c r="AH305" s="19"/>
      <c r="AI305" s="113"/>
    </row>
    <row r="306" spans="1:35" s="62" customFormat="1" x14ac:dyDescent="0.25">
      <c r="A306" s="84"/>
      <c r="B306" s="54"/>
      <c r="C306" s="56"/>
      <c r="D306" s="56"/>
      <c r="E306" s="57"/>
      <c r="F306" s="56"/>
      <c r="G306" s="61"/>
      <c r="I306" s="85"/>
      <c r="J306" s="85"/>
      <c r="K306" s="85"/>
      <c r="L306" s="58"/>
      <c r="M306" s="85"/>
      <c r="N306" s="58"/>
      <c r="O306" s="86"/>
      <c r="P306" s="58"/>
      <c r="Q306" s="60"/>
      <c r="R306" s="61"/>
      <c r="S306" s="61"/>
      <c r="T306" s="61"/>
      <c r="U306" s="61"/>
      <c r="V306" s="61"/>
      <c r="X306" s="299" t="s">
        <v>160</v>
      </c>
      <c r="Y306" s="295" t="s">
        <v>62</v>
      </c>
      <c r="Z306" s="296" t="s">
        <v>4</v>
      </c>
      <c r="AA306" s="296" t="s">
        <v>6</v>
      </c>
      <c r="AB306" s="347" t="s">
        <v>104</v>
      </c>
      <c r="AC306" s="314"/>
      <c r="AD306" s="459">
        <f t="shared" si="61"/>
        <v>20879.8</v>
      </c>
      <c r="AE306" s="428">
        <f t="shared" si="61"/>
        <v>4741</v>
      </c>
      <c r="AF306" s="438">
        <f t="shared" si="61"/>
        <v>4741</v>
      </c>
      <c r="AG306" s="19"/>
      <c r="AH306" s="19"/>
      <c r="AI306" s="113"/>
    </row>
    <row r="307" spans="1:35" s="62" customFormat="1" x14ac:dyDescent="0.25">
      <c r="A307" s="84"/>
      <c r="B307" s="54"/>
      <c r="C307" s="56"/>
      <c r="D307" s="56"/>
      <c r="E307" s="57"/>
      <c r="F307" s="56"/>
      <c r="G307" s="61"/>
      <c r="I307" s="85"/>
      <c r="J307" s="85"/>
      <c r="K307" s="85"/>
      <c r="L307" s="58"/>
      <c r="M307" s="85"/>
      <c r="N307" s="58"/>
      <c r="O307" s="86"/>
      <c r="P307" s="58"/>
      <c r="Q307" s="60"/>
      <c r="R307" s="61"/>
      <c r="S307" s="61"/>
      <c r="T307" s="61"/>
      <c r="U307" s="61"/>
      <c r="V307" s="61"/>
      <c r="X307" s="449" t="s">
        <v>523</v>
      </c>
      <c r="Y307" s="295" t="s">
        <v>62</v>
      </c>
      <c r="Z307" s="296" t="s">
        <v>4</v>
      </c>
      <c r="AA307" s="296" t="s">
        <v>6</v>
      </c>
      <c r="AB307" s="347" t="s">
        <v>331</v>
      </c>
      <c r="AC307" s="314"/>
      <c r="AD307" s="459">
        <f>AD308+AD311</f>
        <v>20879.8</v>
      </c>
      <c r="AE307" s="428">
        <f>AE308+AE311</f>
        <v>4741</v>
      </c>
      <c r="AF307" s="438">
        <f>AF308+AF311</f>
        <v>4741</v>
      </c>
      <c r="AG307" s="19"/>
      <c r="AH307" s="19"/>
      <c r="AI307" s="113"/>
    </row>
    <row r="308" spans="1:35" s="62" customFormat="1" x14ac:dyDescent="0.25">
      <c r="A308" s="84"/>
      <c r="B308" s="54"/>
      <c r="C308" s="56"/>
      <c r="D308" s="56"/>
      <c r="E308" s="57"/>
      <c r="F308" s="56"/>
      <c r="G308" s="61"/>
      <c r="I308" s="85"/>
      <c r="J308" s="85"/>
      <c r="K308" s="85"/>
      <c r="L308" s="58"/>
      <c r="M308" s="85"/>
      <c r="N308" s="58"/>
      <c r="O308" s="86"/>
      <c r="P308" s="58"/>
      <c r="Q308" s="60"/>
      <c r="R308" s="61"/>
      <c r="S308" s="61"/>
      <c r="T308" s="61"/>
      <c r="U308" s="61"/>
      <c r="V308" s="61"/>
      <c r="X308" s="307" t="s">
        <v>246</v>
      </c>
      <c r="Y308" s="295" t="s">
        <v>62</v>
      </c>
      <c r="Z308" s="296" t="s">
        <v>4</v>
      </c>
      <c r="AA308" s="296" t="s">
        <v>6</v>
      </c>
      <c r="AB308" s="347" t="s">
        <v>351</v>
      </c>
      <c r="AC308" s="314"/>
      <c r="AD308" s="459">
        <f t="shared" ref="AD308:AF309" si="62">AD309</f>
        <v>12913.5</v>
      </c>
      <c r="AE308" s="428">
        <f t="shared" si="62"/>
        <v>1320</v>
      </c>
      <c r="AF308" s="438">
        <f t="shared" si="62"/>
        <v>0</v>
      </c>
      <c r="AG308" s="19"/>
      <c r="AH308" s="19"/>
      <c r="AI308" s="113"/>
    </row>
    <row r="309" spans="1:35" s="62" customFormat="1" x14ac:dyDescent="0.25">
      <c r="A309" s="84"/>
      <c r="B309" s="54"/>
      <c r="C309" s="56"/>
      <c r="D309" s="56"/>
      <c r="E309" s="57"/>
      <c r="F309" s="56"/>
      <c r="G309" s="61"/>
      <c r="I309" s="85"/>
      <c r="J309" s="85"/>
      <c r="K309" s="85"/>
      <c r="L309" s="58"/>
      <c r="M309" s="85"/>
      <c r="N309" s="58"/>
      <c r="O309" s="86"/>
      <c r="P309" s="58"/>
      <c r="Q309" s="60"/>
      <c r="R309" s="61"/>
      <c r="S309" s="61"/>
      <c r="T309" s="61"/>
      <c r="U309" s="61"/>
      <c r="V309" s="61"/>
      <c r="X309" s="294" t="s">
        <v>118</v>
      </c>
      <c r="Y309" s="295" t="s">
        <v>62</v>
      </c>
      <c r="Z309" s="296" t="s">
        <v>4</v>
      </c>
      <c r="AA309" s="296" t="s">
        <v>6</v>
      </c>
      <c r="AB309" s="347" t="s">
        <v>351</v>
      </c>
      <c r="AC309" s="314" t="s">
        <v>36</v>
      </c>
      <c r="AD309" s="459">
        <f t="shared" si="62"/>
        <v>12913.5</v>
      </c>
      <c r="AE309" s="428">
        <f t="shared" si="62"/>
        <v>1320</v>
      </c>
      <c r="AF309" s="438">
        <f t="shared" si="62"/>
        <v>0</v>
      </c>
      <c r="AG309" s="19"/>
      <c r="AH309" s="19"/>
      <c r="AI309" s="113"/>
    </row>
    <row r="310" spans="1:35" s="62" customFormat="1" ht="31.5" x14ac:dyDescent="0.25">
      <c r="A310" s="84"/>
      <c r="B310" s="54"/>
      <c r="C310" s="56"/>
      <c r="D310" s="56"/>
      <c r="E310" s="57"/>
      <c r="F310" s="56"/>
      <c r="G310" s="61"/>
      <c r="I310" s="85"/>
      <c r="J310" s="85"/>
      <c r="K310" s="85"/>
      <c r="L310" s="58"/>
      <c r="M310" s="85"/>
      <c r="N310" s="58"/>
      <c r="O310" s="86"/>
      <c r="P310" s="58"/>
      <c r="Q310" s="60"/>
      <c r="R310" s="61"/>
      <c r="S310" s="61"/>
      <c r="T310" s="61"/>
      <c r="U310" s="61"/>
      <c r="V310" s="61"/>
      <c r="X310" s="294" t="s">
        <v>51</v>
      </c>
      <c r="Y310" s="295" t="s">
        <v>62</v>
      </c>
      <c r="Z310" s="296" t="s">
        <v>4</v>
      </c>
      <c r="AA310" s="296" t="s">
        <v>6</v>
      </c>
      <c r="AB310" s="347" t="s">
        <v>351</v>
      </c>
      <c r="AC310" s="314" t="s">
        <v>64</v>
      </c>
      <c r="AD310" s="459">
        <f>8549+189.8+6900-2725.3</f>
        <v>12913.5</v>
      </c>
      <c r="AE310" s="428">
        <v>1320</v>
      </c>
      <c r="AF310" s="438">
        <v>0</v>
      </c>
      <c r="AG310" s="192"/>
      <c r="AH310" s="19"/>
      <c r="AI310" s="113"/>
    </row>
    <row r="311" spans="1:35" s="62" customFormat="1" ht="31.5" x14ac:dyDescent="0.25">
      <c r="A311" s="84"/>
      <c r="B311" s="54"/>
      <c r="C311" s="56"/>
      <c r="D311" s="56"/>
      <c r="E311" s="57"/>
      <c r="F311" s="56"/>
      <c r="G311" s="61"/>
      <c r="I311" s="85"/>
      <c r="J311" s="85"/>
      <c r="K311" s="85"/>
      <c r="L311" s="58"/>
      <c r="M311" s="85"/>
      <c r="N311" s="58"/>
      <c r="O311" s="86"/>
      <c r="P311" s="58"/>
      <c r="Q311" s="60"/>
      <c r="R311" s="61"/>
      <c r="S311" s="61"/>
      <c r="T311" s="61"/>
      <c r="U311" s="61"/>
      <c r="V311" s="61"/>
      <c r="X311" s="307" t="s">
        <v>245</v>
      </c>
      <c r="Y311" s="295" t="s">
        <v>62</v>
      </c>
      <c r="Z311" s="296" t="s">
        <v>4</v>
      </c>
      <c r="AA311" s="296" t="s">
        <v>6</v>
      </c>
      <c r="AB311" s="347" t="s">
        <v>333</v>
      </c>
      <c r="AC311" s="314"/>
      <c r="AD311" s="459">
        <f>AD312+AD314+AD316</f>
        <v>7966.3</v>
      </c>
      <c r="AE311" s="459">
        <f>AE312+AE314+AE316</f>
        <v>3421</v>
      </c>
      <c r="AF311" s="459">
        <f>AF312+AF314+AF316</f>
        <v>4741</v>
      </c>
      <c r="AG311" s="19"/>
      <c r="AH311" s="19"/>
      <c r="AI311" s="113"/>
    </row>
    <row r="312" spans="1:35" s="62" customFormat="1" ht="47.25" x14ac:dyDescent="0.25">
      <c r="A312" s="84"/>
      <c r="B312" s="54"/>
      <c r="C312" s="56"/>
      <c r="D312" s="56"/>
      <c r="E312" s="57"/>
      <c r="F312" s="56"/>
      <c r="G312" s="61"/>
      <c r="I312" s="85"/>
      <c r="J312" s="85"/>
      <c r="K312" s="85"/>
      <c r="L312" s="58"/>
      <c r="M312" s="85"/>
      <c r="N312" s="58"/>
      <c r="O312" s="86"/>
      <c r="P312" s="58"/>
      <c r="Q312" s="60"/>
      <c r="R312" s="61"/>
      <c r="S312" s="61"/>
      <c r="T312" s="61"/>
      <c r="U312" s="61"/>
      <c r="V312" s="61"/>
      <c r="X312" s="294" t="s">
        <v>40</v>
      </c>
      <c r="Y312" s="295" t="s">
        <v>62</v>
      </c>
      <c r="Z312" s="296" t="s">
        <v>4</v>
      </c>
      <c r="AA312" s="296" t="s">
        <v>6</v>
      </c>
      <c r="AB312" s="347" t="s">
        <v>333</v>
      </c>
      <c r="AC312" s="314" t="s">
        <v>125</v>
      </c>
      <c r="AD312" s="459">
        <f>AD313</f>
        <v>7268.5</v>
      </c>
      <c r="AE312" s="428">
        <f>AE313</f>
        <v>2521.6</v>
      </c>
      <c r="AF312" s="438">
        <f>AF313</f>
        <v>3841.6</v>
      </c>
      <c r="AG312" s="19"/>
      <c r="AH312" s="19"/>
      <c r="AI312" s="113"/>
    </row>
    <row r="313" spans="1:35" s="62" customFormat="1" x14ac:dyDescent="0.25">
      <c r="A313" s="84"/>
      <c r="B313" s="54"/>
      <c r="C313" s="56"/>
      <c r="D313" s="56"/>
      <c r="E313" s="57"/>
      <c r="F313" s="56"/>
      <c r="G313" s="61"/>
      <c r="I313" s="85"/>
      <c r="J313" s="85"/>
      <c r="K313" s="85"/>
      <c r="L313" s="58"/>
      <c r="M313" s="85"/>
      <c r="N313" s="58"/>
      <c r="O313" s="86"/>
      <c r="P313" s="58"/>
      <c r="Q313" s="60"/>
      <c r="R313" s="61"/>
      <c r="S313" s="61"/>
      <c r="T313" s="61"/>
      <c r="U313" s="61"/>
      <c r="V313" s="61"/>
      <c r="X313" s="294" t="s">
        <v>67</v>
      </c>
      <c r="Y313" s="295" t="s">
        <v>62</v>
      </c>
      <c r="Z313" s="296" t="s">
        <v>4</v>
      </c>
      <c r="AA313" s="296" t="s">
        <v>6</v>
      </c>
      <c r="AB313" s="347" t="s">
        <v>333</v>
      </c>
      <c r="AC313" s="314" t="s">
        <v>126</v>
      </c>
      <c r="AD313" s="459">
        <f>6478.7+418.2+126.3+245.3</f>
        <v>7268.5</v>
      </c>
      <c r="AE313" s="428">
        <f>3841.6-1320</f>
        <v>2521.6</v>
      </c>
      <c r="AF313" s="438">
        <v>3841.6</v>
      </c>
      <c r="AG313" s="19"/>
      <c r="AH313" s="19"/>
      <c r="AI313" s="113"/>
    </row>
    <row r="314" spans="1:35" s="62" customFormat="1" x14ac:dyDescent="0.25">
      <c r="A314" s="84"/>
      <c r="B314" s="54"/>
      <c r="C314" s="56"/>
      <c r="D314" s="56"/>
      <c r="E314" s="57"/>
      <c r="F314" s="56"/>
      <c r="G314" s="61"/>
      <c r="I314" s="85"/>
      <c r="J314" s="85"/>
      <c r="K314" s="85"/>
      <c r="L314" s="58"/>
      <c r="M314" s="85"/>
      <c r="N314" s="58"/>
      <c r="O314" s="86"/>
      <c r="P314" s="58"/>
      <c r="Q314" s="60"/>
      <c r="R314" s="61"/>
      <c r="S314" s="61"/>
      <c r="T314" s="61"/>
      <c r="U314" s="61"/>
      <c r="V314" s="61"/>
      <c r="X314" s="294" t="s">
        <v>118</v>
      </c>
      <c r="Y314" s="295" t="s">
        <v>62</v>
      </c>
      <c r="Z314" s="296" t="s">
        <v>4</v>
      </c>
      <c r="AA314" s="296" t="s">
        <v>6</v>
      </c>
      <c r="AB314" s="347" t="s">
        <v>333</v>
      </c>
      <c r="AC314" s="314" t="s">
        <v>36</v>
      </c>
      <c r="AD314" s="459">
        <f>AD315</f>
        <v>696.3</v>
      </c>
      <c r="AE314" s="428">
        <f>AE315</f>
        <v>899.4</v>
      </c>
      <c r="AF314" s="438">
        <f>AF315</f>
        <v>899.4</v>
      </c>
      <c r="AG314" s="19"/>
      <c r="AH314" s="19"/>
      <c r="AI314" s="113"/>
    </row>
    <row r="315" spans="1:35" s="62" customFormat="1" ht="31.5" x14ac:dyDescent="0.25">
      <c r="A315" s="84"/>
      <c r="B315" s="54"/>
      <c r="C315" s="56"/>
      <c r="D315" s="56"/>
      <c r="E315" s="57"/>
      <c r="F315" s="56"/>
      <c r="G315" s="61"/>
      <c r="I315" s="85"/>
      <c r="J315" s="85"/>
      <c r="K315" s="85"/>
      <c r="L315" s="58"/>
      <c r="M315" s="85"/>
      <c r="N315" s="58"/>
      <c r="O315" s="86"/>
      <c r="P315" s="58"/>
      <c r="Q315" s="60"/>
      <c r="R315" s="61"/>
      <c r="S315" s="61"/>
      <c r="T315" s="61"/>
      <c r="U315" s="61"/>
      <c r="V315" s="61"/>
      <c r="X315" s="294" t="s">
        <v>51</v>
      </c>
      <c r="Y315" s="295" t="s">
        <v>62</v>
      </c>
      <c r="Z315" s="296" t="s">
        <v>4</v>
      </c>
      <c r="AA315" s="296" t="s">
        <v>6</v>
      </c>
      <c r="AB315" s="347" t="s">
        <v>333</v>
      </c>
      <c r="AC315" s="314" t="s">
        <v>64</v>
      </c>
      <c r="AD315" s="459">
        <f>899.4+17.4-1.5-219</f>
        <v>696.3</v>
      </c>
      <c r="AE315" s="428">
        <v>899.4</v>
      </c>
      <c r="AF315" s="438">
        <v>899.4</v>
      </c>
      <c r="AG315" s="19"/>
      <c r="AH315" s="19"/>
      <c r="AI315" s="113"/>
    </row>
    <row r="316" spans="1:35" s="62" customFormat="1" x14ac:dyDescent="0.25">
      <c r="A316" s="84"/>
      <c r="B316" s="54"/>
      <c r="C316" s="56"/>
      <c r="D316" s="56"/>
      <c r="E316" s="57"/>
      <c r="F316" s="56"/>
      <c r="G316" s="61"/>
      <c r="I316" s="85"/>
      <c r="J316" s="85"/>
      <c r="K316" s="85"/>
      <c r="L316" s="58"/>
      <c r="M316" s="85"/>
      <c r="N316" s="58"/>
      <c r="O316" s="86"/>
      <c r="P316" s="58"/>
      <c r="Q316" s="60"/>
      <c r="R316" s="61"/>
      <c r="S316" s="61"/>
      <c r="T316" s="61"/>
      <c r="U316" s="61"/>
      <c r="V316" s="61"/>
      <c r="X316" s="294" t="s">
        <v>41</v>
      </c>
      <c r="Y316" s="295" t="s">
        <v>62</v>
      </c>
      <c r="Z316" s="296" t="s">
        <v>4</v>
      </c>
      <c r="AA316" s="296" t="s">
        <v>6</v>
      </c>
      <c r="AB316" s="347" t="s">
        <v>333</v>
      </c>
      <c r="AC316" s="314" t="s">
        <v>342</v>
      </c>
      <c r="AD316" s="459">
        <f>AD317</f>
        <v>1.5</v>
      </c>
      <c r="AE316" s="459">
        <f>AE317</f>
        <v>0</v>
      </c>
      <c r="AF316" s="459">
        <f>AF317</f>
        <v>0</v>
      </c>
      <c r="AG316" s="19"/>
      <c r="AH316" s="19"/>
      <c r="AI316" s="113"/>
    </row>
    <row r="317" spans="1:35" s="62" customFormat="1" x14ac:dyDescent="0.25">
      <c r="A317" s="84"/>
      <c r="B317" s="54"/>
      <c r="C317" s="56"/>
      <c r="D317" s="56"/>
      <c r="E317" s="57"/>
      <c r="F317" s="56"/>
      <c r="G317" s="61"/>
      <c r="I317" s="85"/>
      <c r="J317" s="85"/>
      <c r="K317" s="85"/>
      <c r="L317" s="58"/>
      <c r="M317" s="85"/>
      <c r="N317" s="58"/>
      <c r="O317" s="86"/>
      <c r="P317" s="58"/>
      <c r="Q317" s="60"/>
      <c r="R317" s="61"/>
      <c r="S317" s="61"/>
      <c r="T317" s="61"/>
      <c r="U317" s="61"/>
      <c r="V317" s="61"/>
      <c r="X317" s="294" t="s">
        <v>56</v>
      </c>
      <c r="Y317" s="295" t="s">
        <v>62</v>
      </c>
      <c r="Z317" s="296" t="s">
        <v>4</v>
      </c>
      <c r="AA317" s="296" t="s">
        <v>6</v>
      </c>
      <c r="AB317" s="347" t="s">
        <v>333</v>
      </c>
      <c r="AC317" s="314" t="s">
        <v>805</v>
      </c>
      <c r="AD317" s="459">
        <v>1.5</v>
      </c>
      <c r="AE317" s="428">
        <v>0</v>
      </c>
      <c r="AF317" s="438">
        <v>0</v>
      </c>
      <c r="AG317" s="19"/>
      <c r="AH317" s="19"/>
      <c r="AI317" s="113"/>
    </row>
    <row r="318" spans="1:35" s="62" customFormat="1" x14ac:dyDescent="0.25">
      <c r="A318" s="84"/>
      <c r="B318" s="54"/>
      <c r="C318" s="56"/>
      <c r="D318" s="56"/>
      <c r="E318" s="57"/>
      <c r="F318" s="56"/>
      <c r="G318" s="61"/>
      <c r="I318" s="85"/>
      <c r="J318" s="85"/>
      <c r="K318" s="85"/>
      <c r="L318" s="58"/>
      <c r="M318" s="85"/>
      <c r="N318" s="58"/>
      <c r="O318" s="86"/>
      <c r="P318" s="58"/>
      <c r="Q318" s="60"/>
      <c r="R318" s="61"/>
      <c r="S318" s="61"/>
      <c r="T318" s="61"/>
      <c r="U318" s="61"/>
      <c r="V318" s="61"/>
      <c r="X318" s="182" t="s">
        <v>184</v>
      </c>
      <c r="Y318" s="295" t="s">
        <v>62</v>
      </c>
      <c r="Z318" s="296" t="s">
        <v>4</v>
      </c>
      <c r="AA318" s="296" t="s">
        <v>6</v>
      </c>
      <c r="AB318" s="350" t="s">
        <v>110</v>
      </c>
      <c r="AC318" s="314"/>
      <c r="AD318" s="459">
        <f t="shared" ref="AD318:AD323" si="63">AD319</f>
        <v>219</v>
      </c>
      <c r="AE318" s="459">
        <f t="shared" ref="AE318:AF323" si="64">AE319</f>
        <v>0</v>
      </c>
      <c r="AF318" s="459">
        <f t="shared" si="64"/>
        <v>0</v>
      </c>
      <c r="AG318" s="19"/>
      <c r="AH318" s="19"/>
      <c r="AI318" s="113"/>
    </row>
    <row r="319" spans="1:35" s="62" customFormat="1" x14ac:dyDescent="0.25">
      <c r="A319" s="84"/>
      <c r="B319" s="54"/>
      <c r="C319" s="56"/>
      <c r="D319" s="56"/>
      <c r="E319" s="57"/>
      <c r="F319" s="56"/>
      <c r="G319" s="61"/>
      <c r="I319" s="85"/>
      <c r="J319" s="85"/>
      <c r="K319" s="85"/>
      <c r="L319" s="58"/>
      <c r="M319" s="85"/>
      <c r="N319" s="58"/>
      <c r="O319" s="86"/>
      <c r="P319" s="58"/>
      <c r="Q319" s="60"/>
      <c r="R319" s="61"/>
      <c r="S319" s="61"/>
      <c r="T319" s="61"/>
      <c r="U319" s="61"/>
      <c r="V319" s="61"/>
      <c r="X319" s="299" t="s">
        <v>187</v>
      </c>
      <c r="Y319" s="295" t="s">
        <v>62</v>
      </c>
      <c r="Z319" s="296" t="s">
        <v>4</v>
      </c>
      <c r="AA319" s="296" t="s">
        <v>6</v>
      </c>
      <c r="AB319" s="348" t="s">
        <v>188</v>
      </c>
      <c r="AC319" s="314"/>
      <c r="AD319" s="459">
        <f t="shared" si="63"/>
        <v>219</v>
      </c>
      <c r="AE319" s="459">
        <f t="shared" si="64"/>
        <v>0</v>
      </c>
      <c r="AF319" s="459">
        <f t="shared" si="64"/>
        <v>0</v>
      </c>
      <c r="AG319" s="19"/>
      <c r="AH319" s="19"/>
      <c r="AI319" s="113"/>
    </row>
    <row r="320" spans="1:35" s="62" customFormat="1" ht="31.5" x14ac:dyDescent="0.25">
      <c r="A320" s="84"/>
      <c r="B320" s="54"/>
      <c r="C320" s="56"/>
      <c r="D320" s="56"/>
      <c r="E320" s="57"/>
      <c r="F320" s="56"/>
      <c r="G320" s="61"/>
      <c r="I320" s="85"/>
      <c r="J320" s="85"/>
      <c r="K320" s="85"/>
      <c r="L320" s="58"/>
      <c r="M320" s="85"/>
      <c r="N320" s="58"/>
      <c r="O320" s="86"/>
      <c r="P320" s="58"/>
      <c r="Q320" s="60"/>
      <c r="R320" s="61"/>
      <c r="S320" s="61"/>
      <c r="T320" s="61"/>
      <c r="U320" s="61"/>
      <c r="V320" s="61"/>
      <c r="X320" s="294" t="s">
        <v>529</v>
      </c>
      <c r="Y320" s="295" t="s">
        <v>62</v>
      </c>
      <c r="Z320" s="296" t="s">
        <v>4</v>
      </c>
      <c r="AA320" s="296" t="s">
        <v>6</v>
      </c>
      <c r="AB320" s="350" t="s">
        <v>530</v>
      </c>
      <c r="AC320" s="314"/>
      <c r="AD320" s="459">
        <f t="shared" si="63"/>
        <v>219</v>
      </c>
      <c r="AE320" s="459">
        <f t="shared" si="64"/>
        <v>0</v>
      </c>
      <c r="AF320" s="459">
        <f t="shared" si="64"/>
        <v>0</v>
      </c>
      <c r="AG320" s="19"/>
      <c r="AH320" s="19"/>
      <c r="AI320" s="113"/>
    </row>
    <row r="321" spans="1:36" s="62" customFormat="1" ht="31.5" x14ac:dyDescent="0.25">
      <c r="A321" s="84"/>
      <c r="B321" s="54"/>
      <c r="C321" s="56"/>
      <c r="D321" s="56"/>
      <c r="E321" s="57"/>
      <c r="F321" s="56"/>
      <c r="G321" s="61"/>
      <c r="I321" s="85"/>
      <c r="J321" s="85"/>
      <c r="K321" s="85"/>
      <c r="L321" s="58"/>
      <c r="M321" s="85"/>
      <c r="N321" s="58"/>
      <c r="O321" s="86"/>
      <c r="P321" s="58"/>
      <c r="Q321" s="60"/>
      <c r="R321" s="61"/>
      <c r="S321" s="61"/>
      <c r="T321" s="61"/>
      <c r="U321" s="61"/>
      <c r="V321" s="61"/>
      <c r="X321" s="294" t="s">
        <v>529</v>
      </c>
      <c r="Y321" s="295" t="s">
        <v>62</v>
      </c>
      <c r="Z321" s="296" t="s">
        <v>4</v>
      </c>
      <c r="AA321" s="296" t="s">
        <v>6</v>
      </c>
      <c r="AB321" s="350" t="s">
        <v>530</v>
      </c>
      <c r="AC321" s="297"/>
      <c r="AD321" s="459">
        <f t="shared" si="63"/>
        <v>219</v>
      </c>
      <c r="AE321" s="459">
        <f t="shared" si="64"/>
        <v>0</v>
      </c>
      <c r="AF321" s="459">
        <f t="shared" si="64"/>
        <v>0</v>
      </c>
      <c r="AG321" s="19"/>
      <c r="AH321" s="19"/>
      <c r="AI321" s="113"/>
    </row>
    <row r="322" spans="1:36" s="62" customFormat="1" ht="78.75" x14ac:dyDescent="0.25">
      <c r="A322" s="84"/>
      <c r="B322" s="54"/>
      <c r="C322" s="56"/>
      <c r="D322" s="56"/>
      <c r="E322" s="57"/>
      <c r="F322" s="56"/>
      <c r="G322" s="61"/>
      <c r="I322" s="85"/>
      <c r="J322" s="85"/>
      <c r="K322" s="85"/>
      <c r="L322" s="58"/>
      <c r="M322" s="85"/>
      <c r="N322" s="58"/>
      <c r="O322" s="86"/>
      <c r="P322" s="58"/>
      <c r="Q322" s="60"/>
      <c r="R322" s="61"/>
      <c r="S322" s="61"/>
      <c r="T322" s="61"/>
      <c r="U322" s="61"/>
      <c r="V322" s="61"/>
      <c r="X322" s="294" t="s">
        <v>401</v>
      </c>
      <c r="Y322" s="295" t="s">
        <v>62</v>
      </c>
      <c r="Z322" s="296" t="s">
        <v>4</v>
      </c>
      <c r="AA322" s="296" t="s">
        <v>6</v>
      </c>
      <c r="AB322" s="348" t="s">
        <v>531</v>
      </c>
      <c r="AC322" s="297"/>
      <c r="AD322" s="459">
        <f t="shared" si="63"/>
        <v>219</v>
      </c>
      <c r="AE322" s="459">
        <f t="shared" si="64"/>
        <v>0</v>
      </c>
      <c r="AF322" s="459">
        <f t="shared" si="64"/>
        <v>0</v>
      </c>
      <c r="AG322" s="19"/>
      <c r="AH322" s="19"/>
      <c r="AI322" s="113"/>
    </row>
    <row r="323" spans="1:36" s="62" customFormat="1" x14ac:dyDescent="0.25">
      <c r="A323" s="84"/>
      <c r="B323" s="54"/>
      <c r="C323" s="56"/>
      <c r="D323" s="56"/>
      <c r="E323" s="57"/>
      <c r="F323" s="56"/>
      <c r="G323" s="61"/>
      <c r="I323" s="85"/>
      <c r="J323" s="85"/>
      <c r="K323" s="85"/>
      <c r="L323" s="58"/>
      <c r="M323" s="85"/>
      <c r="N323" s="58"/>
      <c r="O323" s="86"/>
      <c r="P323" s="58"/>
      <c r="Q323" s="60"/>
      <c r="R323" s="61"/>
      <c r="S323" s="61"/>
      <c r="T323" s="61"/>
      <c r="U323" s="61"/>
      <c r="V323" s="61"/>
      <c r="X323" s="294" t="s">
        <v>118</v>
      </c>
      <c r="Y323" s="295" t="s">
        <v>62</v>
      </c>
      <c r="Z323" s="296" t="s">
        <v>4</v>
      </c>
      <c r="AA323" s="296" t="s">
        <v>6</v>
      </c>
      <c r="AB323" s="348" t="s">
        <v>531</v>
      </c>
      <c r="AC323" s="297">
        <v>200</v>
      </c>
      <c r="AD323" s="459">
        <f t="shared" si="63"/>
        <v>219</v>
      </c>
      <c r="AE323" s="459">
        <f t="shared" si="64"/>
        <v>0</v>
      </c>
      <c r="AF323" s="459">
        <f t="shared" si="64"/>
        <v>0</v>
      </c>
      <c r="AG323" s="19"/>
      <c r="AH323" s="19"/>
      <c r="AI323" s="113"/>
    </row>
    <row r="324" spans="1:36" s="62" customFormat="1" ht="31.5" x14ac:dyDescent="0.25">
      <c r="A324" s="84"/>
      <c r="B324" s="54"/>
      <c r="C324" s="56"/>
      <c r="D324" s="56"/>
      <c r="E324" s="57"/>
      <c r="F324" s="56"/>
      <c r="G324" s="61"/>
      <c r="I324" s="85"/>
      <c r="J324" s="85"/>
      <c r="K324" s="85"/>
      <c r="L324" s="58"/>
      <c r="M324" s="85"/>
      <c r="N324" s="58"/>
      <c r="O324" s="86"/>
      <c r="P324" s="58"/>
      <c r="Q324" s="60"/>
      <c r="R324" s="61"/>
      <c r="S324" s="61"/>
      <c r="T324" s="61"/>
      <c r="U324" s="61"/>
      <c r="V324" s="61"/>
      <c r="X324" s="294" t="s">
        <v>51</v>
      </c>
      <c r="Y324" s="295" t="s">
        <v>62</v>
      </c>
      <c r="Z324" s="296" t="s">
        <v>4</v>
      </c>
      <c r="AA324" s="296" t="s">
        <v>6</v>
      </c>
      <c r="AB324" s="348" t="s">
        <v>531</v>
      </c>
      <c r="AC324" s="297">
        <v>240</v>
      </c>
      <c r="AD324" s="459">
        <v>219</v>
      </c>
      <c r="AE324" s="428">
        <v>0</v>
      </c>
      <c r="AF324" s="438">
        <v>0</v>
      </c>
      <c r="AG324" s="19"/>
      <c r="AH324" s="19"/>
      <c r="AI324" s="113"/>
    </row>
    <row r="325" spans="1:36" s="62" customFormat="1" ht="31.5" x14ac:dyDescent="0.25">
      <c r="A325" s="84"/>
      <c r="B325" s="54"/>
      <c r="C325" s="56"/>
      <c r="D325" s="56"/>
      <c r="E325" s="57"/>
      <c r="F325" s="56"/>
      <c r="G325" s="61"/>
      <c r="I325" s="85"/>
      <c r="J325" s="85"/>
      <c r="K325" s="85"/>
      <c r="L325" s="58"/>
      <c r="M325" s="85"/>
      <c r="N325" s="58"/>
      <c r="O325" s="86"/>
      <c r="P325" s="58"/>
      <c r="Q325" s="60"/>
      <c r="R325" s="61"/>
      <c r="S325" s="61"/>
      <c r="T325" s="61"/>
      <c r="U325" s="61"/>
      <c r="V325" s="61"/>
      <c r="X325" s="301" t="s">
        <v>296</v>
      </c>
      <c r="Y325" s="295" t="s">
        <v>62</v>
      </c>
      <c r="Z325" s="296" t="s">
        <v>4</v>
      </c>
      <c r="AA325" s="296" t="s">
        <v>6</v>
      </c>
      <c r="AB325" s="348" t="s">
        <v>130</v>
      </c>
      <c r="AC325" s="314"/>
      <c r="AD325" s="459">
        <f t="shared" ref="AD325:AF326" si="65">AD326</f>
        <v>1744</v>
      </c>
      <c r="AE325" s="428">
        <f t="shared" si="65"/>
        <v>1365</v>
      </c>
      <c r="AF325" s="438">
        <f t="shared" si="65"/>
        <v>0</v>
      </c>
      <c r="AG325" s="19"/>
      <c r="AH325" s="19"/>
      <c r="AI325" s="113"/>
      <c r="AJ325" s="124"/>
    </row>
    <row r="326" spans="1:36" s="62" customFormat="1" ht="47.25" x14ac:dyDescent="0.25">
      <c r="A326" s="84"/>
      <c r="B326" s="54"/>
      <c r="C326" s="56"/>
      <c r="D326" s="56"/>
      <c r="E326" s="57"/>
      <c r="F326" s="56"/>
      <c r="G326" s="61"/>
      <c r="I326" s="85"/>
      <c r="J326" s="85"/>
      <c r="K326" s="85"/>
      <c r="L326" s="58"/>
      <c r="M326" s="85"/>
      <c r="N326" s="58"/>
      <c r="O326" s="86"/>
      <c r="P326" s="58"/>
      <c r="Q326" s="60"/>
      <c r="R326" s="61"/>
      <c r="S326" s="61"/>
      <c r="T326" s="61"/>
      <c r="U326" s="61"/>
      <c r="V326" s="61"/>
      <c r="X326" s="448" t="s">
        <v>510</v>
      </c>
      <c r="Y326" s="295" t="s">
        <v>62</v>
      </c>
      <c r="Z326" s="296" t="s">
        <v>4</v>
      </c>
      <c r="AA326" s="296" t="s">
        <v>6</v>
      </c>
      <c r="AB326" s="348" t="s">
        <v>298</v>
      </c>
      <c r="AC326" s="297"/>
      <c r="AD326" s="459">
        <f t="shared" si="65"/>
        <v>1744</v>
      </c>
      <c r="AE326" s="428">
        <f t="shared" si="65"/>
        <v>1365</v>
      </c>
      <c r="AF326" s="438">
        <f t="shared" si="65"/>
        <v>0</v>
      </c>
      <c r="AG326" s="19"/>
      <c r="AH326" s="19"/>
      <c r="AI326" s="113"/>
      <c r="AJ326" s="124"/>
    </row>
    <row r="327" spans="1:36" s="62" customFormat="1" ht="31.5" x14ac:dyDescent="0.25">
      <c r="A327" s="84"/>
      <c r="B327" s="54"/>
      <c r="C327" s="56"/>
      <c r="D327" s="56"/>
      <c r="E327" s="57"/>
      <c r="F327" s="56"/>
      <c r="G327" s="61"/>
      <c r="I327" s="85"/>
      <c r="J327" s="85"/>
      <c r="K327" s="85"/>
      <c r="L327" s="58"/>
      <c r="M327" s="85"/>
      <c r="N327" s="58"/>
      <c r="O327" s="86"/>
      <c r="P327" s="58"/>
      <c r="Q327" s="60"/>
      <c r="R327" s="61"/>
      <c r="S327" s="61"/>
      <c r="T327" s="61"/>
      <c r="U327" s="61"/>
      <c r="V327" s="61"/>
      <c r="X327" s="449" t="s">
        <v>302</v>
      </c>
      <c r="Y327" s="295" t="s">
        <v>62</v>
      </c>
      <c r="Z327" s="296" t="s">
        <v>4</v>
      </c>
      <c r="AA327" s="296" t="s">
        <v>6</v>
      </c>
      <c r="AB327" s="348" t="s">
        <v>303</v>
      </c>
      <c r="AC327" s="297"/>
      <c r="AD327" s="459">
        <f t="shared" ref="AD327:AF329" si="66">AD328</f>
        <v>1744</v>
      </c>
      <c r="AE327" s="428">
        <f t="shared" si="66"/>
        <v>1365</v>
      </c>
      <c r="AF327" s="438">
        <f t="shared" si="66"/>
        <v>0</v>
      </c>
      <c r="AG327" s="19"/>
      <c r="AH327" s="19"/>
      <c r="AI327" s="113"/>
    </row>
    <row r="328" spans="1:36" s="62" customFormat="1" ht="47.25" x14ac:dyDescent="0.25">
      <c r="A328" s="84"/>
      <c r="B328" s="54"/>
      <c r="C328" s="56"/>
      <c r="D328" s="56"/>
      <c r="E328" s="57"/>
      <c r="F328" s="56"/>
      <c r="G328" s="61"/>
      <c r="I328" s="85"/>
      <c r="J328" s="85"/>
      <c r="K328" s="85"/>
      <c r="L328" s="58"/>
      <c r="M328" s="85"/>
      <c r="N328" s="58"/>
      <c r="O328" s="86"/>
      <c r="P328" s="58"/>
      <c r="Q328" s="60"/>
      <c r="R328" s="61"/>
      <c r="S328" s="61"/>
      <c r="T328" s="61"/>
      <c r="U328" s="61"/>
      <c r="V328" s="61"/>
      <c r="X328" s="449" t="s">
        <v>347</v>
      </c>
      <c r="Y328" s="295" t="s">
        <v>62</v>
      </c>
      <c r="Z328" s="296" t="s">
        <v>4</v>
      </c>
      <c r="AA328" s="296" t="s">
        <v>6</v>
      </c>
      <c r="AB328" s="348" t="s">
        <v>304</v>
      </c>
      <c r="AC328" s="297"/>
      <c r="AD328" s="459">
        <f>AD329</f>
        <v>1744</v>
      </c>
      <c r="AE328" s="428">
        <f>AE329</f>
        <v>1365</v>
      </c>
      <c r="AF328" s="438">
        <f>AF329</f>
        <v>0</v>
      </c>
      <c r="AG328" s="19"/>
      <c r="AH328" s="19"/>
      <c r="AI328" s="113"/>
    </row>
    <row r="329" spans="1:36" s="62" customFormat="1" x14ac:dyDescent="0.25">
      <c r="A329" s="84"/>
      <c r="B329" s="54"/>
      <c r="C329" s="56"/>
      <c r="D329" s="56"/>
      <c r="E329" s="57"/>
      <c r="F329" s="56"/>
      <c r="G329" s="61"/>
      <c r="I329" s="85"/>
      <c r="J329" s="85"/>
      <c r="K329" s="85"/>
      <c r="L329" s="58"/>
      <c r="M329" s="85"/>
      <c r="N329" s="58"/>
      <c r="O329" s="86"/>
      <c r="P329" s="58"/>
      <c r="Q329" s="60"/>
      <c r="R329" s="61"/>
      <c r="S329" s="61"/>
      <c r="T329" s="61"/>
      <c r="U329" s="61"/>
      <c r="V329" s="61"/>
      <c r="X329" s="294" t="s">
        <v>118</v>
      </c>
      <c r="Y329" s="295" t="s">
        <v>62</v>
      </c>
      <c r="Z329" s="296" t="s">
        <v>4</v>
      </c>
      <c r="AA329" s="296" t="s">
        <v>6</v>
      </c>
      <c r="AB329" s="348" t="s">
        <v>304</v>
      </c>
      <c r="AC329" s="297">
        <v>200</v>
      </c>
      <c r="AD329" s="459">
        <f t="shared" si="66"/>
        <v>1744</v>
      </c>
      <c r="AE329" s="428">
        <f t="shared" si="66"/>
        <v>1365</v>
      </c>
      <c r="AF329" s="438">
        <f t="shared" si="66"/>
        <v>0</v>
      </c>
      <c r="AG329" s="19"/>
      <c r="AH329" s="19"/>
      <c r="AI329" s="113"/>
    </row>
    <row r="330" spans="1:36" s="62" customFormat="1" ht="31.5" x14ac:dyDescent="0.25">
      <c r="A330" s="84"/>
      <c r="B330" s="54"/>
      <c r="C330" s="56"/>
      <c r="D330" s="56"/>
      <c r="E330" s="57"/>
      <c r="F330" s="56"/>
      <c r="G330" s="61"/>
      <c r="I330" s="85"/>
      <c r="J330" s="85"/>
      <c r="K330" s="85"/>
      <c r="L330" s="58"/>
      <c r="M330" s="85"/>
      <c r="N330" s="58"/>
      <c r="O330" s="86"/>
      <c r="P330" s="58"/>
      <c r="Q330" s="60"/>
      <c r="R330" s="61"/>
      <c r="S330" s="61"/>
      <c r="T330" s="61"/>
      <c r="U330" s="61"/>
      <c r="V330" s="61"/>
      <c r="X330" s="294" t="s">
        <v>51</v>
      </c>
      <c r="Y330" s="295" t="s">
        <v>62</v>
      </c>
      <c r="Z330" s="296" t="s">
        <v>4</v>
      </c>
      <c r="AA330" s="296" t="s">
        <v>6</v>
      </c>
      <c r="AB330" s="348" t="s">
        <v>304</v>
      </c>
      <c r="AC330" s="297">
        <v>240</v>
      </c>
      <c r="AD330" s="459">
        <f>1365+16+363</f>
        <v>1744</v>
      </c>
      <c r="AE330" s="428">
        <v>1365</v>
      </c>
      <c r="AF330" s="438">
        <v>0</v>
      </c>
      <c r="AG330" s="19"/>
      <c r="AH330" s="19"/>
      <c r="AI330" s="113"/>
    </row>
    <row r="331" spans="1:36" s="62" customFormat="1" x14ac:dyDescent="0.25">
      <c r="A331" s="84"/>
      <c r="B331" s="54"/>
      <c r="C331" s="56"/>
      <c r="D331" s="56"/>
      <c r="E331" s="57"/>
      <c r="F331" s="56"/>
      <c r="G331" s="61"/>
      <c r="I331" s="85"/>
      <c r="J331" s="85"/>
      <c r="K331" s="85"/>
      <c r="L331" s="58"/>
      <c r="M331" s="85"/>
      <c r="N331" s="58"/>
      <c r="O331" s="86"/>
      <c r="P331" s="58"/>
      <c r="Q331" s="60"/>
      <c r="R331" s="61"/>
      <c r="S331" s="61"/>
      <c r="T331" s="61"/>
      <c r="U331" s="61"/>
      <c r="V331" s="61"/>
      <c r="X331" s="448" t="s">
        <v>247</v>
      </c>
      <c r="Y331" s="295" t="s">
        <v>62</v>
      </c>
      <c r="Z331" s="296" t="s">
        <v>4</v>
      </c>
      <c r="AA331" s="296" t="s">
        <v>6</v>
      </c>
      <c r="AB331" s="348" t="s">
        <v>248</v>
      </c>
      <c r="AC331" s="293"/>
      <c r="AD331" s="459">
        <f t="shared" ref="AD331:AE335" si="67">AD332</f>
        <v>0</v>
      </c>
      <c r="AE331" s="428">
        <f t="shared" si="67"/>
        <v>210</v>
      </c>
      <c r="AF331" s="438">
        <f>AF332</f>
        <v>0</v>
      </c>
      <c r="AG331" s="19"/>
      <c r="AH331" s="19"/>
      <c r="AI331" s="113"/>
    </row>
    <row r="332" spans="1:36" s="62" customFormat="1" ht="34.5" customHeight="1" x14ac:dyDescent="0.25">
      <c r="A332" s="84"/>
      <c r="B332" s="54"/>
      <c r="C332" s="56"/>
      <c r="D332" s="56"/>
      <c r="E332" s="57"/>
      <c r="F332" s="56"/>
      <c r="G332" s="61"/>
      <c r="I332" s="85"/>
      <c r="J332" s="85"/>
      <c r="K332" s="85"/>
      <c r="L332" s="58"/>
      <c r="M332" s="85"/>
      <c r="N332" s="58"/>
      <c r="O332" s="86"/>
      <c r="P332" s="58"/>
      <c r="Q332" s="60"/>
      <c r="R332" s="61"/>
      <c r="S332" s="61"/>
      <c r="T332" s="61"/>
      <c r="U332" s="61"/>
      <c r="V332" s="61"/>
      <c r="X332" s="448" t="s">
        <v>759</v>
      </c>
      <c r="Y332" s="295" t="s">
        <v>62</v>
      </c>
      <c r="Z332" s="296" t="s">
        <v>4</v>
      </c>
      <c r="AA332" s="296" t="s">
        <v>6</v>
      </c>
      <c r="AB332" s="348" t="s">
        <v>249</v>
      </c>
      <c r="AC332" s="323"/>
      <c r="AD332" s="459">
        <f t="shared" si="67"/>
        <v>0</v>
      </c>
      <c r="AE332" s="428">
        <f t="shared" si="67"/>
        <v>210</v>
      </c>
      <c r="AF332" s="438">
        <f>AF333</f>
        <v>0</v>
      </c>
      <c r="AG332" s="19"/>
      <c r="AH332" s="19"/>
      <c r="AI332" s="113"/>
    </row>
    <row r="333" spans="1:36" s="62" customFormat="1" ht="31.5" x14ac:dyDescent="0.25">
      <c r="A333" s="84"/>
      <c r="B333" s="54"/>
      <c r="C333" s="56"/>
      <c r="D333" s="56"/>
      <c r="E333" s="57"/>
      <c r="F333" s="56"/>
      <c r="G333" s="61"/>
      <c r="I333" s="85"/>
      <c r="J333" s="85"/>
      <c r="K333" s="85"/>
      <c r="L333" s="58"/>
      <c r="M333" s="85"/>
      <c r="N333" s="58"/>
      <c r="O333" s="86"/>
      <c r="P333" s="58"/>
      <c r="Q333" s="60"/>
      <c r="R333" s="61"/>
      <c r="S333" s="61"/>
      <c r="T333" s="61"/>
      <c r="U333" s="61"/>
      <c r="V333" s="61"/>
      <c r="X333" s="448" t="s">
        <v>772</v>
      </c>
      <c r="Y333" s="295" t="s">
        <v>62</v>
      </c>
      <c r="Z333" s="296" t="s">
        <v>4</v>
      </c>
      <c r="AA333" s="296" t="s">
        <v>6</v>
      </c>
      <c r="AB333" s="348" t="s">
        <v>607</v>
      </c>
      <c r="AC333" s="297"/>
      <c r="AD333" s="459">
        <f t="shared" si="67"/>
        <v>0</v>
      </c>
      <c r="AE333" s="428">
        <f t="shared" si="67"/>
        <v>210</v>
      </c>
      <c r="AF333" s="438">
        <f>AF334</f>
        <v>0</v>
      </c>
      <c r="AG333" s="19"/>
      <c r="AH333" s="19"/>
      <c r="AI333" s="113"/>
    </row>
    <row r="334" spans="1:36" s="62" customFormat="1" ht="31.5" x14ac:dyDescent="0.25">
      <c r="A334" s="84"/>
      <c r="B334" s="54"/>
      <c r="C334" s="56"/>
      <c r="D334" s="56"/>
      <c r="E334" s="57"/>
      <c r="F334" s="56"/>
      <c r="G334" s="61"/>
      <c r="I334" s="85"/>
      <c r="J334" s="85"/>
      <c r="K334" s="85"/>
      <c r="L334" s="58"/>
      <c r="M334" s="85"/>
      <c r="N334" s="58"/>
      <c r="O334" s="86"/>
      <c r="P334" s="58"/>
      <c r="Q334" s="60"/>
      <c r="R334" s="61"/>
      <c r="S334" s="61"/>
      <c r="T334" s="61"/>
      <c r="U334" s="61"/>
      <c r="V334" s="61"/>
      <c r="X334" s="301" t="s">
        <v>609</v>
      </c>
      <c r="Y334" s="295" t="s">
        <v>62</v>
      </c>
      <c r="Z334" s="296" t="s">
        <v>4</v>
      </c>
      <c r="AA334" s="296" t="s">
        <v>6</v>
      </c>
      <c r="AB334" s="348" t="s">
        <v>608</v>
      </c>
      <c r="AC334" s="297"/>
      <c r="AD334" s="459">
        <f t="shared" si="67"/>
        <v>0</v>
      </c>
      <c r="AE334" s="428">
        <f t="shared" si="67"/>
        <v>210</v>
      </c>
      <c r="AF334" s="438">
        <f>AF335</f>
        <v>0</v>
      </c>
      <c r="AG334" s="19"/>
      <c r="AH334" s="19"/>
      <c r="AI334" s="113"/>
    </row>
    <row r="335" spans="1:36" s="62" customFormat="1" x14ac:dyDescent="0.25">
      <c r="A335" s="84"/>
      <c r="B335" s="54"/>
      <c r="C335" s="56"/>
      <c r="D335" s="56"/>
      <c r="E335" s="57"/>
      <c r="F335" s="56"/>
      <c r="G335" s="61"/>
      <c r="I335" s="85"/>
      <c r="J335" s="85"/>
      <c r="K335" s="85"/>
      <c r="L335" s="58"/>
      <c r="M335" s="85"/>
      <c r="N335" s="58"/>
      <c r="O335" s="86"/>
      <c r="P335" s="58"/>
      <c r="Q335" s="60"/>
      <c r="R335" s="61"/>
      <c r="S335" s="61"/>
      <c r="T335" s="61"/>
      <c r="U335" s="61"/>
      <c r="V335" s="61"/>
      <c r="X335" s="450" t="s">
        <v>118</v>
      </c>
      <c r="Y335" s="295" t="s">
        <v>62</v>
      </c>
      <c r="Z335" s="296" t="s">
        <v>4</v>
      </c>
      <c r="AA335" s="296" t="s">
        <v>6</v>
      </c>
      <c r="AB335" s="348" t="s">
        <v>608</v>
      </c>
      <c r="AC335" s="297">
        <v>200</v>
      </c>
      <c r="AD335" s="459">
        <f t="shared" si="67"/>
        <v>0</v>
      </c>
      <c r="AE335" s="428">
        <f t="shared" si="67"/>
        <v>210</v>
      </c>
      <c r="AF335" s="438">
        <f>AF336</f>
        <v>0</v>
      </c>
      <c r="AG335" s="19"/>
      <c r="AH335" s="19"/>
      <c r="AI335" s="113"/>
    </row>
    <row r="336" spans="1:36" s="62" customFormat="1" ht="31.5" x14ac:dyDescent="0.25">
      <c r="A336" s="84"/>
      <c r="B336" s="54"/>
      <c r="C336" s="56"/>
      <c r="D336" s="56"/>
      <c r="E336" s="57"/>
      <c r="F336" s="56"/>
      <c r="G336" s="61"/>
      <c r="I336" s="85"/>
      <c r="J336" s="85"/>
      <c r="K336" s="85"/>
      <c r="L336" s="58"/>
      <c r="M336" s="85"/>
      <c r="N336" s="58"/>
      <c r="O336" s="86"/>
      <c r="P336" s="58"/>
      <c r="Q336" s="60"/>
      <c r="R336" s="61"/>
      <c r="S336" s="61"/>
      <c r="T336" s="61"/>
      <c r="U336" s="61"/>
      <c r="V336" s="61"/>
      <c r="X336" s="450" t="s">
        <v>51</v>
      </c>
      <c r="Y336" s="295" t="s">
        <v>62</v>
      </c>
      <c r="Z336" s="296" t="s">
        <v>4</v>
      </c>
      <c r="AA336" s="296" t="s">
        <v>6</v>
      </c>
      <c r="AB336" s="348" t="s">
        <v>608</v>
      </c>
      <c r="AC336" s="297">
        <v>240</v>
      </c>
      <c r="AD336" s="459">
        <f>210+1300-1510</f>
        <v>0</v>
      </c>
      <c r="AE336" s="428">
        <v>210</v>
      </c>
      <c r="AF336" s="438">
        <v>0</v>
      </c>
      <c r="AG336" s="19"/>
      <c r="AH336" s="19"/>
      <c r="AI336" s="113"/>
    </row>
    <row r="337" spans="1:35" s="77" customFormat="1" x14ac:dyDescent="0.25">
      <c r="A337" s="14"/>
      <c r="B337" s="63"/>
      <c r="C337" s="64"/>
      <c r="D337" s="64"/>
      <c r="E337" s="12"/>
      <c r="F337" s="78"/>
      <c r="G337" s="65"/>
      <c r="I337" s="15"/>
      <c r="J337" s="15"/>
      <c r="K337" s="15"/>
      <c r="L337" s="58"/>
      <c r="M337" s="15"/>
      <c r="N337" s="58"/>
      <c r="O337" s="30"/>
      <c r="P337" s="65"/>
      <c r="Q337" s="66"/>
      <c r="R337" s="16"/>
      <c r="S337" s="16"/>
      <c r="T337" s="16"/>
      <c r="U337" s="16"/>
      <c r="V337" s="16"/>
      <c r="X337" s="299" t="s">
        <v>240</v>
      </c>
      <c r="Y337" s="295" t="s">
        <v>62</v>
      </c>
      <c r="Z337" s="296" t="s">
        <v>4</v>
      </c>
      <c r="AA337" s="296" t="s">
        <v>6</v>
      </c>
      <c r="AB337" s="348" t="s">
        <v>241</v>
      </c>
      <c r="AC337" s="314"/>
      <c r="AD337" s="459">
        <f>AD343+AD338</f>
        <v>314488.10000000003</v>
      </c>
      <c r="AE337" s="459">
        <f>AE343+AE338+AE338</f>
        <v>287936</v>
      </c>
      <c r="AF337" s="459">
        <f>AF343+AF338+AF338</f>
        <v>301763</v>
      </c>
      <c r="AG337" s="19"/>
      <c r="AH337" s="19"/>
      <c r="AI337" s="113"/>
    </row>
    <row r="338" spans="1:35" s="77" customFormat="1" x14ac:dyDescent="0.25">
      <c r="A338" s="14"/>
      <c r="B338" s="63"/>
      <c r="C338" s="64"/>
      <c r="D338" s="64"/>
      <c r="E338" s="12"/>
      <c r="F338" s="78"/>
      <c r="G338" s="65"/>
      <c r="I338" s="15"/>
      <c r="J338" s="15"/>
      <c r="K338" s="15"/>
      <c r="L338" s="58"/>
      <c r="M338" s="15"/>
      <c r="N338" s="58"/>
      <c r="O338" s="30"/>
      <c r="P338" s="65"/>
      <c r="Q338" s="66"/>
      <c r="R338" s="16"/>
      <c r="S338" s="16"/>
      <c r="T338" s="16"/>
      <c r="U338" s="16"/>
      <c r="V338" s="16"/>
      <c r="X338" s="185" t="s">
        <v>365</v>
      </c>
      <c r="Y338" s="295" t="s">
        <v>62</v>
      </c>
      <c r="Z338" s="132" t="s">
        <v>4</v>
      </c>
      <c r="AA338" s="331" t="s">
        <v>6</v>
      </c>
      <c r="AB338" s="116" t="s">
        <v>366</v>
      </c>
      <c r="AC338" s="314"/>
      <c r="AD338" s="459">
        <f t="shared" ref="AD338:AF339" si="68">AD339</f>
        <v>27273.500000000004</v>
      </c>
      <c r="AE338" s="459">
        <f t="shared" si="68"/>
        <v>0</v>
      </c>
      <c r="AF338" s="459">
        <f t="shared" si="68"/>
        <v>0</v>
      </c>
      <c r="AG338" s="19"/>
      <c r="AH338" s="19"/>
      <c r="AI338" s="113"/>
    </row>
    <row r="339" spans="1:35" s="77" customFormat="1" ht="31.5" x14ac:dyDescent="0.25">
      <c r="A339" s="14"/>
      <c r="B339" s="63"/>
      <c r="C339" s="64"/>
      <c r="D339" s="64"/>
      <c r="E339" s="12"/>
      <c r="F339" s="78"/>
      <c r="G339" s="65"/>
      <c r="I339" s="15"/>
      <c r="J339" s="15"/>
      <c r="K339" s="15"/>
      <c r="L339" s="58"/>
      <c r="M339" s="15"/>
      <c r="N339" s="58"/>
      <c r="O339" s="30"/>
      <c r="P339" s="65"/>
      <c r="Q339" s="66"/>
      <c r="R339" s="16"/>
      <c r="S339" s="16"/>
      <c r="T339" s="16"/>
      <c r="U339" s="16"/>
      <c r="V339" s="16"/>
      <c r="X339" s="185" t="s">
        <v>389</v>
      </c>
      <c r="Y339" s="295" t="s">
        <v>62</v>
      </c>
      <c r="Z339" s="132" t="s">
        <v>4</v>
      </c>
      <c r="AA339" s="331" t="s">
        <v>6</v>
      </c>
      <c r="AB339" s="116" t="s">
        <v>390</v>
      </c>
      <c r="AC339" s="314"/>
      <c r="AD339" s="459">
        <f t="shared" si="68"/>
        <v>27273.500000000004</v>
      </c>
      <c r="AE339" s="459">
        <f t="shared" si="68"/>
        <v>0</v>
      </c>
      <c r="AF339" s="459">
        <f t="shared" si="68"/>
        <v>0</v>
      </c>
      <c r="AG339" s="19"/>
      <c r="AH339" s="19"/>
      <c r="AI339" s="113"/>
    </row>
    <row r="340" spans="1:35" s="77" customFormat="1" x14ac:dyDescent="0.25">
      <c r="A340" s="14"/>
      <c r="B340" s="63"/>
      <c r="C340" s="64"/>
      <c r="D340" s="64"/>
      <c r="E340" s="12"/>
      <c r="F340" s="78"/>
      <c r="G340" s="65"/>
      <c r="I340" s="15"/>
      <c r="J340" s="15"/>
      <c r="K340" s="15"/>
      <c r="L340" s="58"/>
      <c r="M340" s="15"/>
      <c r="N340" s="58"/>
      <c r="O340" s="30"/>
      <c r="P340" s="65"/>
      <c r="Q340" s="66"/>
      <c r="R340" s="16"/>
      <c r="S340" s="16"/>
      <c r="T340" s="16"/>
      <c r="U340" s="16"/>
      <c r="V340" s="16"/>
      <c r="X340" s="294" t="s">
        <v>392</v>
      </c>
      <c r="Y340" s="295" t="s">
        <v>62</v>
      </c>
      <c r="Z340" s="296" t="s">
        <v>4</v>
      </c>
      <c r="AA340" s="296" t="s">
        <v>6</v>
      </c>
      <c r="AB340" s="348" t="s">
        <v>393</v>
      </c>
      <c r="AC340" s="314"/>
      <c r="AD340" s="459">
        <f t="shared" ref="AD340:AF341" si="69">AD341</f>
        <v>27273.500000000004</v>
      </c>
      <c r="AE340" s="459">
        <f t="shared" si="69"/>
        <v>0</v>
      </c>
      <c r="AF340" s="459">
        <f t="shared" si="69"/>
        <v>0</v>
      </c>
      <c r="AG340" s="19"/>
      <c r="AH340" s="19"/>
      <c r="AI340" s="113"/>
    </row>
    <row r="341" spans="1:35" s="77" customFormat="1" ht="31.5" x14ac:dyDescent="0.25">
      <c r="A341" s="14"/>
      <c r="B341" s="63"/>
      <c r="C341" s="64"/>
      <c r="D341" s="64"/>
      <c r="E341" s="12"/>
      <c r="F341" s="78"/>
      <c r="G341" s="65"/>
      <c r="I341" s="15"/>
      <c r="J341" s="15"/>
      <c r="K341" s="15"/>
      <c r="L341" s="58"/>
      <c r="M341" s="15"/>
      <c r="N341" s="58"/>
      <c r="O341" s="30"/>
      <c r="P341" s="65"/>
      <c r="Q341" s="66"/>
      <c r="R341" s="16"/>
      <c r="S341" s="16"/>
      <c r="T341" s="16"/>
      <c r="U341" s="16"/>
      <c r="V341" s="16"/>
      <c r="X341" s="294" t="s">
        <v>59</v>
      </c>
      <c r="Y341" s="295" t="s">
        <v>62</v>
      </c>
      <c r="Z341" s="296" t="s">
        <v>4</v>
      </c>
      <c r="AA341" s="296" t="s">
        <v>6</v>
      </c>
      <c r="AB341" s="348" t="s">
        <v>393</v>
      </c>
      <c r="AC341" s="323">
        <v>600</v>
      </c>
      <c r="AD341" s="459">
        <f t="shared" si="69"/>
        <v>27273.500000000004</v>
      </c>
      <c r="AE341" s="459">
        <f t="shared" si="69"/>
        <v>0</v>
      </c>
      <c r="AF341" s="459">
        <f t="shared" si="69"/>
        <v>0</v>
      </c>
      <c r="AG341" s="19"/>
      <c r="AH341" s="19"/>
      <c r="AI341" s="113"/>
    </row>
    <row r="342" spans="1:35" s="77" customFormat="1" x14ac:dyDescent="0.25">
      <c r="A342" s="14"/>
      <c r="B342" s="63"/>
      <c r="C342" s="64"/>
      <c r="D342" s="64"/>
      <c r="E342" s="12"/>
      <c r="F342" s="78"/>
      <c r="G342" s="65"/>
      <c r="I342" s="15"/>
      <c r="J342" s="15"/>
      <c r="K342" s="15"/>
      <c r="L342" s="58"/>
      <c r="M342" s="15"/>
      <c r="N342" s="58"/>
      <c r="O342" s="30"/>
      <c r="P342" s="65"/>
      <c r="Q342" s="66"/>
      <c r="R342" s="16"/>
      <c r="S342" s="16"/>
      <c r="T342" s="16"/>
      <c r="U342" s="16"/>
      <c r="V342" s="16"/>
      <c r="X342" s="294" t="s">
        <v>60</v>
      </c>
      <c r="Y342" s="295" t="s">
        <v>62</v>
      </c>
      <c r="Z342" s="296" t="s">
        <v>4</v>
      </c>
      <c r="AA342" s="296" t="s">
        <v>6</v>
      </c>
      <c r="AB342" s="348" t="s">
        <v>393</v>
      </c>
      <c r="AC342" s="314" t="s">
        <v>383</v>
      </c>
      <c r="AD342" s="459">
        <f>4444.1+22008.7+137.9+682.8</f>
        <v>27273.500000000004</v>
      </c>
      <c r="AE342" s="428">
        <v>0</v>
      </c>
      <c r="AF342" s="438">
        <v>0</v>
      </c>
      <c r="AG342" s="19"/>
      <c r="AH342" s="19"/>
      <c r="AI342" s="113"/>
    </row>
    <row r="343" spans="1:35" s="77" customFormat="1" ht="31.5" x14ac:dyDescent="0.25">
      <c r="A343" s="14"/>
      <c r="B343" s="63"/>
      <c r="C343" s="64"/>
      <c r="D343" s="64"/>
      <c r="E343" s="12"/>
      <c r="F343" s="78"/>
      <c r="G343" s="65"/>
      <c r="I343" s="15"/>
      <c r="J343" s="15"/>
      <c r="K343" s="15"/>
      <c r="L343" s="58"/>
      <c r="M343" s="15"/>
      <c r="N343" s="58"/>
      <c r="O343" s="30"/>
      <c r="P343" s="65"/>
      <c r="Q343" s="66"/>
      <c r="R343" s="16"/>
      <c r="S343" s="16"/>
      <c r="T343" s="16"/>
      <c r="U343" s="16"/>
      <c r="V343" s="16"/>
      <c r="X343" s="451" t="s">
        <v>535</v>
      </c>
      <c r="Y343" s="295" t="s">
        <v>62</v>
      </c>
      <c r="Z343" s="296" t="s">
        <v>4</v>
      </c>
      <c r="AA343" s="296" t="s">
        <v>6</v>
      </c>
      <c r="AB343" s="348" t="s">
        <v>242</v>
      </c>
      <c r="AC343" s="314"/>
      <c r="AD343" s="459">
        <f>AD344</f>
        <v>287214.60000000003</v>
      </c>
      <c r="AE343" s="428">
        <f>AE344</f>
        <v>287936</v>
      </c>
      <c r="AF343" s="438">
        <f>AF344</f>
        <v>301763</v>
      </c>
      <c r="AG343" s="19"/>
      <c r="AH343" s="19"/>
      <c r="AI343" s="113"/>
    </row>
    <row r="344" spans="1:35" s="77" customFormat="1" ht="31.5" x14ac:dyDescent="0.25">
      <c r="A344" s="14"/>
      <c r="B344" s="63"/>
      <c r="C344" s="64"/>
      <c r="D344" s="64"/>
      <c r="E344" s="12"/>
      <c r="F344" s="78"/>
      <c r="G344" s="65"/>
      <c r="I344" s="15"/>
      <c r="J344" s="15"/>
      <c r="K344" s="15"/>
      <c r="L344" s="58"/>
      <c r="M344" s="15"/>
      <c r="N344" s="58"/>
      <c r="O344" s="30"/>
      <c r="P344" s="65"/>
      <c r="Q344" s="66"/>
      <c r="R344" s="16"/>
      <c r="S344" s="16"/>
      <c r="T344" s="16"/>
      <c r="U344" s="16"/>
      <c r="V344" s="16"/>
      <c r="X344" s="307" t="s">
        <v>536</v>
      </c>
      <c r="Y344" s="295" t="s">
        <v>62</v>
      </c>
      <c r="Z344" s="296" t="s">
        <v>4</v>
      </c>
      <c r="AA344" s="296" t="s">
        <v>6</v>
      </c>
      <c r="AB344" s="348" t="s">
        <v>243</v>
      </c>
      <c r="AC344" s="297"/>
      <c r="AD344" s="459">
        <f>AD351+AD345+AD348</f>
        <v>287214.60000000003</v>
      </c>
      <c r="AE344" s="459">
        <f t="shared" ref="AE344:AF344" si="70">AE351+AE345+AE348</f>
        <v>287936</v>
      </c>
      <c r="AF344" s="459">
        <f t="shared" si="70"/>
        <v>301763</v>
      </c>
      <c r="AG344" s="19"/>
      <c r="AH344" s="19"/>
      <c r="AI344" s="113"/>
    </row>
    <row r="345" spans="1:35" s="77" customFormat="1" x14ac:dyDescent="0.25">
      <c r="A345" s="14"/>
      <c r="B345" s="63"/>
      <c r="C345" s="64"/>
      <c r="D345" s="64"/>
      <c r="E345" s="12"/>
      <c r="F345" s="78"/>
      <c r="G345" s="65"/>
      <c r="I345" s="15"/>
      <c r="J345" s="15"/>
      <c r="K345" s="15"/>
      <c r="L345" s="58"/>
      <c r="M345" s="15"/>
      <c r="N345" s="58"/>
      <c r="O345" s="30"/>
      <c r="P345" s="65"/>
      <c r="Q345" s="66"/>
      <c r="R345" s="16"/>
      <c r="S345" s="16"/>
      <c r="T345" s="16"/>
      <c r="U345" s="16"/>
      <c r="V345" s="16"/>
      <c r="X345" s="307" t="s">
        <v>875</v>
      </c>
      <c r="Y345" s="295" t="s">
        <v>62</v>
      </c>
      <c r="Z345" s="296" t="s">
        <v>4</v>
      </c>
      <c r="AA345" s="296" t="s">
        <v>6</v>
      </c>
      <c r="AB345" s="348" t="s">
        <v>876</v>
      </c>
      <c r="AC345" s="297"/>
      <c r="AD345" s="459">
        <f t="shared" ref="AD345:AF346" si="71">AD346</f>
        <v>853.9</v>
      </c>
      <c r="AE345" s="459">
        <f t="shared" si="71"/>
        <v>0</v>
      </c>
      <c r="AF345" s="459">
        <f t="shared" si="71"/>
        <v>0</v>
      </c>
      <c r="AG345" s="19"/>
      <c r="AH345" s="19"/>
      <c r="AI345" s="113"/>
    </row>
    <row r="346" spans="1:35" s="77" customFormat="1" ht="31.5" x14ac:dyDescent="0.25">
      <c r="A346" s="14"/>
      <c r="B346" s="63"/>
      <c r="C346" s="64"/>
      <c r="D346" s="64"/>
      <c r="E346" s="12"/>
      <c r="F346" s="78"/>
      <c r="G346" s="65"/>
      <c r="I346" s="15"/>
      <c r="J346" s="15"/>
      <c r="K346" s="15"/>
      <c r="L346" s="58"/>
      <c r="M346" s="15"/>
      <c r="N346" s="58"/>
      <c r="O346" s="30"/>
      <c r="P346" s="65"/>
      <c r="Q346" s="66"/>
      <c r="R346" s="16"/>
      <c r="S346" s="16"/>
      <c r="T346" s="16"/>
      <c r="U346" s="16"/>
      <c r="V346" s="16"/>
      <c r="X346" s="294" t="s">
        <v>59</v>
      </c>
      <c r="Y346" s="295" t="s">
        <v>62</v>
      </c>
      <c r="Z346" s="296" t="s">
        <v>4</v>
      </c>
      <c r="AA346" s="296" t="s">
        <v>6</v>
      </c>
      <c r="AB346" s="348" t="s">
        <v>876</v>
      </c>
      <c r="AC346" s="297">
        <v>600</v>
      </c>
      <c r="AD346" s="459">
        <f t="shared" si="71"/>
        <v>853.9</v>
      </c>
      <c r="AE346" s="459">
        <f t="shared" si="71"/>
        <v>0</v>
      </c>
      <c r="AF346" s="459">
        <f t="shared" si="71"/>
        <v>0</v>
      </c>
      <c r="AG346" s="19"/>
      <c r="AH346" s="19"/>
      <c r="AI346" s="113"/>
    </row>
    <row r="347" spans="1:35" s="77" customFormat="1" x14ac:dyDescent="0.25">
      <c r="A347" s="14"/>
      <c r="B347" s="63"/>
      <c r="C347" s="64"/>
      <c r="D347" s="64"/>
      <c r="E347" s="12"/>
      <c r="F347" s="78"/>
      <c r="G347" s="65"/>
      <c r="I347" s="15"/>
      <c r="J347" s="15"/>
      <c r="K347" s="15"/>
      <c r="L347" s="58"/>
      <c r="M347" s="15"/>
      <c r="N347" s="58"/>
      <c r="O347" s="30"/>
      <c r="P347" s="65"/>
      <c r="Q347" s="66"/>
      <c r="R347" s="16"/>
      <c r="S347" s="16"/>
      <c r="T347" s="16"/>
      <c r="U347" s="16"/>
      <c r="V347" s="16"/>
      <c r="X347" s="294" t="s">
        <v>60</v>
      </c>
      <c r="Y347" s="295" t="s">
        <v>62</v>
      </c>
      <c r="Z347" s="296" t="s">
        <v>4</v>
      </c>
      <c r="AA347" s="296" t="s">
        <v>6</v>
      </c>
      <c r="AB347" s="348" t="s">
        <v>876</v>
      </c>
      <c r="AC347" s="297">
        <v>610</v>
      </c>
      <c r="AD347" s="459">
        <v>853.9</v>
      </c>
      <c r="AE347" s="428">
        <v>0</v>
      </c>
      <c r="AF347" s="438">
        <v>0</v>
      </c>
      <c r="AG347" s="19"/>
      <c r="AH347" s="19"/>
      <c r="AI347" s="113"/>
    </row>
    <row r="348" spans="1:35" s="77" customFormat="1" x14ac:dyDescent="0.25">
      <c r="A348" s="14"/>
      <c r="B348" s="63"/>
      <c r="C348" s="64"/>
      <c r="D348" s="64"/>
      <c r="E348" s="12"/>
      <c r="F348" s="78"/>
      <c r="G348" s="65"/>
      <c r="I348" s="15"/>
      <c r="J348" s="15"/>
      <c r="K348" s="15"/>
      <c r="L348" s="58"/>
      <c r="M348" s="15"/>
      <c r="N348" s="58"/>
      <c r="O348" s="30"/>
      <c r="P348" s="65"/>
      <c r="Q348" s="66"/>
      <c r="R348" s="16"/>
      <c r="S348" s="16"/>
      <c r="T348" s="16"/>
      <c r="U348" s="16"/>
      <c r="V348" s="16"/>
      <c r="X348" s="294" t="s">
        <v>903</v>
      </c>
      <c r="Y348" s="295" t="s">
        <v>62</v>
      </c>
      <c r="Z348" s="296" t="s">
        <v>4</v>
      </c>
      <c r="AA348" s="296" t="s">
        <v>6</v>
      </c>
      <c r="AB348" s="348" t="s">
        <v>902</v>
      </c>
      <c r="AC348" s="297"/>
      <c r="AD348" s="459">
        <f>AD349</f>
        <v>0</v>
      </c>
      <c r="AE348" s="459">
        <f t="shared" ref="AE348:AF349" si="72">AE349</f>
        <v>6394.9</v>
      </c>
      <c r="AF348" s="459">
        <f t="shared" si="72"/>
        <v>8526.6</v>
      </c>
      <c r="AG348" s="19"/>
      <c r="AH348" s="19"/>
      <c r="AI348" s="113"/>
    </row>
    <row r="349" spans="1:35" s="77" customFormat="1" ht="31.5" x14ac:dyDescent="0.25">
      <c r="A349" s="14"/>
      <c r="B349" s="63"/>
      <c r="C349" s="64"/>
      <c r="D349" s="64"/>
      <c r="E349" s="12"/>
      <c r="F349" s="78"/>
      <c r="G349" s="65"/>
      <c r="I349" s="15"/>
      <c r="J349" s="15"/>
      <c r="K349" s="15"/>
      <c r="L349" s="58"/>
      <c r="M349" s="15"/>
      <c r="N349" s="58"/>
      <c r="O349" s="30"/>
      <c r="P349" s="65"/>
      <c r="Q349" s="66"/>
      <c r="R349" s="16"/>
      <c r="S349" s="16"/>
      <c r="T349" s="16"/>
      <c r="U349" s="16"/>
      <c r="V349" s="16"/>
      <c r="X349" s="294" t="s">
        <v>59</v>
      </c>
      <c r="Y349" s="295" t="s">
        <v>62</v>
      </c>
      <c r="Z349" s="296" t="s">
        <v>4</v>
      </c>
      <c r="AA349" s="296" t="s">
        <v>6</v>
      </c>
      <c r="AB349" s="348" t="s">
        <v>902</v>
      </c>
      <c r="AC349" s="297">
        <v>600</v>
      </c>
      <c r="AD349" s="459">
        <f>AD350</f>
        <v>0</v>
      </c>
      <c r="AE349" s="459">
        <f t="shared" si="72"/>
        <v>6394.9</v>
      </c>
      <c r="AF349" s="459">
        <f t="shared" si="72"/>
        <v>8526.6</v>
      </c>
      <c r="AG349" s="19"/>
      <c r="AH349" s="19"/>
      <c r="AI349" s="113"/>
    </row>
    <row r="350" spans="1:35" s="77" customFormat="1" x14ac:dyDescent="0.25">
      <c r="A350" s="14"/>
      <c r="B350" s="63"/>
      <c r="C350" s="64"/>
      <c r="D350" s="64"/>
      <c r="E350" s="12"/>
      <c r="F350" s="78"/>
      <c r="G350" s="65"/>
      <c r="I350" s="15"/>
      <c r="J350" s="15"/>
      <c r="K350" s="15"/>
      <c r="L350" s="58"/>
      <c r="M350" s="15"/>
      <c r="N350" s="58"/>
      <c r="O350" s="30"/>
      <c r="P350" s="65"/>
      <c r="Q350" s="66"/>
      <c r="R350" s="16"/>
      <c r="S350" s="16"/>
      <c r="T350" s="16"/>
      <c r="U350" s="16"/>
      <c r="V350" s="16"/>
      <c r="X350" s="294" t="s">
        <v>60</v>
      </c>
      <c r="Y350" s="295" t="s">
        <v>62</v>
      </c>
      <c r="Z350" s="296" t="s">
        <v>4</v>
      </c>
      <c r="AA350" s="296" t="s">
        <v>6</v>
      </c>
      <c r="AB350" s="348" t="s">
        <v>902</v>
      </c>
      <c r="AC350" s="297">
        <v>610</v>
      </c>
      <c r="AD350" s="459">
        <v>0</v>
      </c>
      <c r="AE350" s="428">
        <v>6394.9</v>
      </c>
      <c r="AF350" s="438">
        <v>8526.6</v>
      </c>
      <c r="AG350" s="19"/>
      <c r="AH350" s="19"/>
      <c r="AI350" s="113"/>
    </row>
    <row r="351" spans="1:35" s="77" customFormat="1" ht="31.5" x14ac:dyDescent="0.25">
      <c r="A351" s="14"/>
      <c r="B351" s="63"/>
      <c r="C351" s="64"/>
      <c r="D351" s="64"/>
      <c r="E351" s="12"/>
      <c r="F351" s="78"/>
      <c r="G351" s="65"/>
      <c r="I351" s="15"/>
      <c r="J351" s="15"/>
      <c r="K351" s="15"/>
      <c r="L351" s="58"/>
      <c r="M351" s="15"/>
      <c r="N351" s="58"/>
      <c r="O351" s="30"/>
      <c r="P351" s="65"/>
      <c r="Q351" s="66"/>
      <c r="R351" s="16"/>
      <c r="S351" s="16"/>
      <c r="T351" s="16"/>
      <c r="U351" s="16"/>
      <c r="V351" s="16"/>
      <c r="X351" s="307" t="s">
        <v>573</v>
      </c>
      <c r="Y351" s="295" t="s">
        <v>62</v>
      </c>
      <c r="Z351" s="296" t="s">
        <v>4</v>
      </c>
      <c r="AA351" s="296" t="s">
        <v>6</v>
      </c>
      <c r="AB351" s="348" t="s">
        <v>415</v>
      </c>
      <c r="AC351" s="297"/>
      <c r="AD351" s="459">
        <f t="shared" ref="AD351:AF352" si="73">AD352</f>
        <v>286360.7</v>
      </c>
      <c r="AE351" s="428">
        <f t="shared" si="73"/>
        <v>281541.09999999998</v>
      </c>
      <c r="AF351" s="438">
        <f t="shared" si="73"/>
        <v>293236.40000000002</v>
      </c>
      <c r="AG351" s="19"/>
      <c r="AH351" s="19"/>
      <c r="AI351" s="113"/>
    </row>
    <row r="352" spans="1:35" s="77" customFormat="1" ht="31.5" x14ac:dyDescent="0.25">
      <c r="A352" s="14"/>
      <c r="B352" s="63"/>
      <c r="C352" s="64"/>
      <c r="D352" s="64"/>
      <c r="E352" s="12"/>
      <c r="F352" s="78"/>
      <c r="G352" s="65"/>
      <c r="I352" s="15"/>
      <c r="J352" s="15"/>
      <c r="K352" s="15"/>
      <c r="L352" s="58"/>
      <c r="M352" s="15"/>
      <c r="N352" s="58"/>
      <c r="O352" s="30"/>
      <c r="P352" s="65"/>
      <c r="Q352" s="66"/>
      <c r="R352" s="16"/>
      <c r="S352" s="16"/>
      <c r="T352" s="16"/>
      <c r="U352" s="16"/>
      <c r="V352" s="16"/>
      <c r="X352" s="294" t="s">
        <v>59</v>
      </c>
      <c r="Y352" s="295" t="s">
        <v>62</v>
      </c>
      <c r="Z352" s="296" t="s">
        <v>4</v>
      </c>
      <c r="AA352" s="296" t="s">
        <v>6</v>
      </c>
      <c r="AB352" s="348" t="s">
        <v>415</v>
      </c>
      <c r="AC352" s="323">
        <v>600</v>
      </c>
      <c r="AD352" s="459">
        <f t="shared" si="73"/>
        <v>286360.7</v>
      </c>
      <c r="AE352" s="428">
        <f t="shared" si="73"/>
        <v>281541.09999999998</v>
      </c>
      <c r="AF352" s="438">
        <f t="shared" si="73"/>
        <v>293236.40000000002</v>
      </c>
      <c r="AG352" s="19"/>
      <c r="AH352" s="19"/>
      <c r="AI352" s="113"/>
    </row>
    <row r="353" spans="1:35" s="77" customFormat="1" x14ac:dyDescent="0.25">
      <c r="A353" s="14"/>
      <c r="B353" s="63"/>
      <c r="C353" s="64"/>
      <c r="D353" s="64"/>
      <c r="E353" s="12"/>
      <c r="F353" s="78"/>
      <c r="G353" s="65"/>
      <c r="I353" s="15"/>
      <c r="J353" s="15"/>
      <c r="K353" s="15"/>
      <c r="L353" s="58"/>
      <c r="M353" s="15"/>
      <c r="N353" s="58"/>
      <c r="O353" s="30"/>
      <c r="P353" s="65"/>
      <c r="Q353" s="66"/>
      <c r="R353" s="16"/>
      <c r="S353" s="16"/>
      <c r="T353" s="16"/>
      <c r="U353" s="16"/>
      <c r="V353" s="16"/>
      <c r="X353" s="294" t="s">
        <v>60</v>
      </c>
      <c r="Y353" s="295" t="s">
        <v>62</v>
      </c>
      <c r="Z353" s="296" t="s">
        <v>4</v>
      </c>
      <c r="AA353" s="296" t="s">
        <v>6</v>
      </c>
      <c r="AB353" s="348" t="s">
        <v>415</v>
      </c>
      <c r="AC353" s="297">
        <v>610</v>
      </c>
      <c r="AD353" s="459">
        <f>275692+2028.7+8640</f>
        <v>286360.7</v>
      </c>
      <c r="AE353" s="428">
        <f>287936-6394.9</f>
        <v>281541.09999999998</v>
      </c>
      <c r="AF353" s="438">
        <f>301763-8526.6</f>
        <v>293236.40000000002</v>
      </c>
      <c r="AG353" s="19"/>
      <c r="AH353" s="19"/>
      <c r="AI353" s="113"/>
    </row>
    <row r="354" spans="1:35" s="77" customFormat="1" x14ac:dyDescent="0.25">
      <c r="A354" s="14"/>
      <c r="B354" s="63"/>
      <c r="C354" s="64"/>
      <c r="D354" s="64"/>
      <c r="E354" s="12"/>
      <c r="F354" s="78"/>
      <c r="G354" s="65"/>
      <c r="I354" s="15"/>
      <c r="J354" s="15"/>
      <c r="K354" s="15"/>
      <c r="L354" s="58"/>
      <c r="M354" s="15"/>
      <c r="N354" s="58"/>
      <c r="O354" s="30"/>
      <c r="P354" s="65"/>
      <c r="Q354" s="66"/>
      <c r="R354" s="16"/>
      <c r="S354" s="16"/>
      <c r="T354" s="16"/>
      <c r="U354" s="16"/>
      <c r="V354" s="16"/>
      <c r="X354" s="181" t="s">
        <v>38</v>
      </c>
      <c r="Y354" s="291" t="s">
        <v>62</v>
      </c>
      <c r="Z354" s="337" t="s">
        <v>93</v>
      </c>
      <c r="AA354" s="355"/>
      <c r="AB354" s="356"/>
      <c r="AC354" s="130"/>
      <c r="AD354" s="462">
        <f t="shared" ref="AD354:AF360" si="74">AD355</f>
        <v>134</v>
      </c>
      <c r="AE354" s="431">
        <f t="shared" si="74"/>
        <v>134</v>
      </c>
      <c r="AF354" s="440">
        <f t="shared" si="74"/>
        <v>134</v>
      </c>
      <c r="AG354" s="19"/>
      <c r="AH354" s="19"/>
      <c r="AI354" s="113"/>
    </row>
    <row r="355" spans="1:35" s="77" customFormat="1" x14ac:dyDescent="0.25">
      <c r="A355" s="14"/>
      <c r="B355" s="63"/>
      <c r="C355" s="64"/>
      <c r="D355" s="64"/>
      <c r="E355" s="12"/>
      <c r="F355" s="78"/>
      <c r="G355" s="65"/>
      <c r="I355" s="15"/>
      <c r="J355" s="15"/>
      <c r="K355" s="15"/>
      <c r="L355" s="58"/>
      <c r="M355" s="15"/>
      <c r="N355" s="58"/>
      <c r="O355" s="30"/>
      <c r="P355" s="65"/>
      <c r="Q355" s="66"/>
      <c r="R355" s="16"/>
      <c r="S355" s="16"/>
      <c r="T355" s="16"/>
      <c r="U355" s="16"/>
      <c r="V355" s="16"/>
      <c r="X355" s="255" t="s">
        <v>681</v>
      </c>
      <c r="Y355" s="9" t="s">
        <v>62</v>
      </c>
      <c r="Z355" s="13" t="s">
        <v>93</v>
      </c>
      <c r="AA355" s="1" t="s">
        <v>4</v>
      </c>
      <c r="AB355" s="272"/>
      <c r="AC355" s="331"/>
      <c r="AD355" s="460">
        <f t="shared" si="74"/>
        <v>134</v>
      </c>
      <c r="AE355" s="429">
        <f t="shared" si="74"/>
        <v>134</v>
      </c>
      <c r="AF355" s="441">
        <f t="shared" si="74"/>
        <v>134</v>
      </c>
      <c r="AG355" s="19"/>
      <c r="AH355" s="19"/>
      <c r="AI355" s="113"/>
    </row>
    <row r="356" spans="1:35" s="77" customFormat="1" x14ac:dyDescent="0.25">
      <c r="A356" s="14"/>
      <c r="B356" s="63"/>
      <c r="C356" s="64"/>
      <c r="D356" s="64"/>
      <c r="E356" s="12"/>
      <c r="F356" s="78"/>
      <c r="G356" s="65"/>
      <c r="I356" s="15"/>
      <c r="J356" s="15"/>
      <c r="K356" s="15"/>
      <c r="L356" s="58"/>
      <c r="M356" s="15"/>
      <c r="N356" s="58"/>
      <c r="O356" s="30"/>
      <c r="P356" s="65"/>
      <c r="Q356" s="66"/>
      <c r="R356" s="16"/>
      <c r="S356" s="16"/>
      <c r="T356" s="16"/>
      <c r="U356" s="16"/>
      <c r="V356" s="16"/>
      <c r="X356" s="255" t="s">
        <v>682</v>
      </c>
      <c r="Y356" s="9" t="s">
        <v>62</v>
      </c>
      <c r="Z356" s="13" t="s">
        <v>93</v>
      </c>
      <c r="AA356" s="1" t="s">
        <v>4</v>
      </c>
      <c r="AB356" s="272" t="s">
        <v>683</v>
      </c>
      <c r="AC356" s="331"/>
      <c r="AD356" s="460">
        <f t="shared" si="74"/>
        <v>134</v>
      </c>
      <c r="AE356" s="429">
        <f t="shared" si="74"/>
        <v>134</v>
      </c>
      <c r="AF356" s="441">
        <f t="shared" si="74"/>
        <v>134</v>
      </c>
      <c r="AG356" s="19"/>
      <c r="AH356" s="19"/>
      <c r="AI356" s="113"/>
    </row>
    <row r="357" spans="1:35" s="77" customFormat="1" x14ac:dyDescent="0.25">
      <c r="A357" s="14"/>
      <c r="B357" s="63"/>
      <c r="C357" s="64"/>
      <c r="D357" s="64"/>
      <c r="E357" s="12"/>
      <c r="F357" s="78"/>
      <c r="G357" s="65"/>
      <c r="I357" s="15"/>
      <c r="J357" s="15"/>
      <c r="K357" s="15"/>
      <c r="L357" s="58"/>
      <c r="M357" s="15"/>
      <c r="N357" s="58"/>
      <c r="O357" s="30"/>
      <c r="P357" s="65"/>
      <c r="Q357" s="66"/>
      <c r="R357" s="16"/>
      <c r="S357" s="16"/>
      <c r="T357" s="16"/>
      <c r="U357" s="16"/>
      <c r="V357" s="16"/>
      <c r="X357" s="255" t="s">
        <v>684</v>
      </c>
      <c r="Y357" s="9" t="s">
        <v>62</v>
      </c>
      <c r="Z357" s="13" t="s">
        <v>93</v>
      </c>
      <c r="AA357" s="1" t="s">
        <v>4</v>
      </c>
      <c r="AB357" s="272" t="s">
        <v>685</v>
      </c>
      <c r="AC357" s="331"/>
      <c r="AD357" s="460">
        <f t="shared" si="74"/>
        <v>134</v>
      </c>
      <c r="AE357" s="429">
        <f t="shared" si="74"/>
        <v>134</v>
      </c>
      <c r="AF357" s="441">
        <f t="shared" si="74"/>
        <v>134</v>
      </c>
      <c r="AG357" s="19"/>
      <c r="AH357" s="19"/>
      <c r="AI357" s="113"/>
    </row>
    <row r="358" spans="1:35" s="77" customFormat="1" x14ac:dyDescent="0.25">
      <c r="A358" s="14"/>
      <c r="B358" s="63"/>
      <c r="C358" s="64"/>
      <c r="D358" s="64"/>
      <c r="E358" s="12"/>
      <c r="F358" s="78"/>
      <c r="G358" s="65"/>
      <c r="I358" s="15"/>
      <c r="J358" s="15"/>
      <c r="K358" s="15"/>
      <c r="L358" s="58"/>
      <c r="M358" s="15"/>
      <c r="N358" s="58"/>
      <c r="O358" s="30"/>
      <c r="P358" s="65"/>
      <c r="Q358" s="66"/>
      <c r="R358" s="16"/>
      <c r="S358" s="16"/>
      <c r="T358" s="16"/>
      <c r="U358" s="16"/>
      <c r="V358" s="16"/>
      <c r="X358" s="255" t="s">
        <v>686</v>
      </c>
      <c r="Y358" s="9" t="s">
        <v>62</v>
      </c>
      <c r="Z358" s="13" t="s">
        <v>93</v>
      </c>
      <c r="AA358" s="1" t="s">
        <v>4</v>
      </c>
      <c r="AB358" s="272" t="s">
        <v>687</v>
      </c>
      <c r="AC358" s="331"/>
      <c r="AD358" s="460">
        <f t="shared" si="74"/>
        <v>134</v>
      </c>
      <c r="AE358" s="429">
        <f t="shared" si="74"/>
        <v>134</v>
      </c>
      <c r="AF358" s="441">
        <f t="shared" si="74"/>
        <v>134</v>
      </c>
      <c r="AG358" s="19"/>
      <c r="AH358" s="19"/>
      <c r="AI358" s="113"/>
    </row>
    <row r="359" spans="1:35" s="77" customFormat="1" ht="31.5" x14ac:dyDescent="0.25">
      <c r="A359" s="14"/>
      <c r="B359" s="63"/>
      <c r="C359" s="64"/>
      <c r="D359" s="64"/>
      <c r="E359" s="12"/>
      <c r="F359" s="78"/>
      <c r="G359" s="65"/>
      <c r="I359" s="15"/>
      <c r="J359" s="15"/>
      <c r="K359" s="15"/>
      <c r="L359" s="58"/>
      <c r="M359" s="15"/>
      <c r="N359" s="58"/>
      <c r="O359" s="30"/>
      <c r="P359" s="65"/>
      <c r="Q359" s="66"/>
      <c r="R359" s="16"/>
      <c r="S359" s="16"/>
      <c r="T359" s="16"/>
      <c r="U359" s="16"/>
      <c r="V359" s="16"/>
      <c r="X359" s="255" t="s">
        <v>735</v>
      </c>
      <c r="Y359" s="9" t="s">
        <v>62</v>
      </c>
      <c r="Z359" s="13" t="s">
        <v>93</v>
      </c>
      <c r="AA359" s="1" t="s">
        <v>4</v>
      </c>
      <c r="AB359" s="272" t="s">
        <v>688</v>
      </c>
      <c r="AC359" s="331"/>
      <c r="AD359" s="460">
        <f t="shared" si="74"/>
        <v>134</v>
      </c>
      <c r="AE359" s="429">
        <f t="shared" si="74"/>
        <v>134</v>
      </c>
      <c r="AF359" s="441">
        <f t="shared" si="74"/>
        <v>134</v>
      </c>
      <c r="AG359" s="19"/>
      <c r="AH359" s="19"/>
      <c r="AI359" s="113"/>
    </row>
    <row r="360" spans="1:35" s="77" customFormat="1" ht="31.5" x14ac:dyDescent="0.25">
      <c r="A360" s="14"/>
      <c r="B360" s="63"/>
      <c r="C360" s="64"/>
      <c r="D360" s="64"/>
      <c r="E360" s="12"/>
      <c r="F360" s="78"/>
      <c r="G360" s="65"/>
      <c r="I360" s="15"/>
      <c r="J360" s="15"/>
      <c r="K360" s="15"/>
      <c r="L360" s="58"/>
      <c r="M360" s="15"/>
      <c r="N360" s="58"/>
      <c r="O360" s="30"/>
      <c r="P360" s="65"/>
      <c r="Q360" s="66"/>
      <c r="R360" s="16"/>
      <c r="S360" s="16"/>
      <c r="T360" s="16"/>
      <c r="U360" s="16"/>
      <c r="V360" s="16"/>
      <c r="X360" s="255" t="s">
        <v>59</v>
      </c>
      <c r="Y360" s="9" t="s">
        <v>62</v>
      </c>
      <c r="Z360" s="13" t="s">
        <v>93</v>
      </c>
      <c r="AA360" s="1" t="s">
        <v>4</v>
      </c>
      <c r="AB360" s="272" t="s">
        <v>688</v>
      </c>
      <c r="AC360" s="331">
        <v>600</v>
      </c>
      <c r="AD360" s="460">
        <f t="shared" si="74"/>
        <v>134</v>
      </c>
      <c r="AE360" s="429">
        <f t="shared" si="74"/>
        <v>134</v>
      </c>
      <c r="AF360" s="441">
        <f t="shared" si="74"/>
        <v>134</v>
      </c>
      <c r="AG360" s="19"/>
      <c r="AH360" s="19"/>
      <c r="AI360" s="113"/>
    </row>
    <row r="361" spans="1:35" s="77" customFormat="1" x14ac:dyDescent="0.25">
      <c r="A361" s="14"/>
      <c r="B361" s="63"/>
      <c r="C361" s="64"/>
      <c r="D361" s="64"/>
      <c r="E361" s="12"/>
      <c r="F361" s="78"/>
      <c r="G361" s="65"/>
      <c r="I361" s="15"/>
      <c r="J361" s="15"/>
      <c r="K361" s="15"/>
      <c r="L361" s="58"/>
      <c r="M361" s="15"/>
      <c r="N361" s="58"/>
      <c r="O361" s="30"/>
      <c r="P361" s="65"/>
      <c r="Q361" s="66"/>
      <c r="R361" s="16"/>
      <c r="S361" s="16"/>
      <c r="T361" s="16"/>
      <c r="U361" s="16"/>
      <c r="V361" s="16"/>
      <c r="X361" s="255" t="s">
        <v>60</v>
      </c>
      <c r="Y361" s="9" t="s">
        <v>62</v>
      </c>
      <c r="Z361" s="13" t="s">
        <v>93</v>
      </c>
      <c r="AA361" s="1" t="s">
        <v>4</v>
      </c>
      <c r="AB361" s="272" t="s">
        <v>688</v>
      </c>
      <c r="AC361" s="331">
        <v>610</v>
      </c>
      <c r="AD361" s="460">
        <v>134</v>
      </c>
      <c r="AE361" s="429">
        <v>134</v>
      </c>
      <c r="AF361" s="441">
        <v>134</v>
      </c>
      <c r="AG361" s="19"/>
      <c r="AH361" s="19"/>
      <c r="AI361" s="113"/>
    </row>
    <row r="362" spans="1:35" s="62" customFormat="1" x14ac:dyDescent="0.25">
      <c r="A362" s="53"/>
      <c r="B362" s="54"/>
      <c r="C362" s="56"/>
      <c r="D362" s="57"/>
      <c r="E362" s="57"/>
      <c r="F362" s="57"/>
      <c r="G362" s="58"/>
      <c r="H362" s="58"/>
      <c r="I362" s="58"/>
      <c r="J362" s="58"/>
      <c r="K362" s="58"/>
      <c r="L362" s="58"/>
      <c r="M362" s="58"/>
      <c r="N362" s="58"/>
      <c r="O362" s="59"/>
      <c r="P362" s="58"/>
      <c r="Q362" s="60"/>
      <c r="R362" s="61"/>
      <c r="S362" s="61"/>
      <c r="T362" s="61"/>
      <c r="U362" s="61"/>
      <c r="V362" s="61"/>
      <c r="W362" s="61"/>
      <c r="X362" s="445" t="s">
        <v>3</v>
      </c>
      <c r="Y362" s="125" t="s">
        <v>62</v>
      </c>
      <c r="Z362" s="312" t="s">
        <v>7</v>
      </c>
      <c r="AA362" s="346"/>
      <c r="AB362" s="345"/>
      <c r="AC362" s="317"/>
      <c r="AD362" s="458">
        <f>AD363+AD381+AD401</f>
        <v>85371.4</v>
      </c>
      <c r="AE362" s="427">
        <f>AE363+AE381+AE401</f>
        <v>47803.4</v>
      </c>
      <c r="AF362" s="437">
        <f>AF363+AF381+AF401</f>
        <v>47911.9</v>
      </c>
      <c r="AG362" s="142"/>
      <c r="AH362" s="142"/>
      <c r="AI362" s="113"/>
    </row>
    <row r="363" spans="1:35" s="62" customFormat="1" x14ac:dyDescent="0.25">
      <c r="A363" s="53"/>
      <c r="B363" s="54"/>
      <c r="C363" s="56"/>
      <c r="D363" s="57"/>
      <c r="E363" s="57"/>
      <c r="F363" s="57"/>
      <c r="G363" s="58"/>
      <c r="H363" s="58"/>
      <c r="I363" s="58"/>
      <c r="J363" s="58"/>
      <c r="K363" s="58"/>
      <c r="L363" s="58"/>
      <c r="M363" s="58"/>
      <c r="N363" s="58"/>
      <c r="O363" s="59"/>
      <c r="P363" s="58"/>
      <c r="Q363" s="60"/>
      <c r="R363" s="61"/>
      <c r="S363" s="61"/>
      <c r="T363" s="61"/>
      <c r="U363" s="61"/>
      <c r="V363" s="61"/>
      <c r="W363" s="61"/>
      <c r="X363" s="294" t="s">
        <v>132</v>
      </c>
      <c r="Y363" s="295" t="s">
        <v>62</v>
      </c>
      <c r="Z363" s="318" t="s">
        <v>7</v>
      </c>
      <c r="AA363" s="296" t="s">
        <v>6</v>
      </c>
      <c r="AB363" s="345"/>
      <c r="AC363" s="317"/>
      <c r="AD363" s="459">
        <f t="shared" ref="AD363:AF365" si="75">AD364</f>
        <v>80893.600000000006</v>
      </c>
      <c r="AE363" s="428">
        <f t="shared" si="75"/>
        <v>43856</v>
      </c>
      <c r="AF363" s="438">
        <f t="shared" si="75"/>
        <v>43856</v>
      </c>
      <c r="AG363" s="19"/>
      <c r="AH363" s="19"/>
      <c r="AI363" s="113"/>
    </row>
    <row r="364" spans="1:35" s="62" customFormat="1" x14ac:dyDescent="0.25">
      <c r="A364" s="53"/>
      <c r="B364" s="54"/>
      <c r="C364" s="56"/>
      <c r="D364" s="57"/>
      <c r="E364" s="57"/>
      <c r="F364" s="57"/>
      <c r="G364" s="58"/>
      <c r="H364" s="58"/>
      <c r="I364" s="58"/>
      <c r="J364" s="58"/>
      <c r="K364" s="58"/>
      <c r="L364" s="58"/>
      <c r="M364" s="58"/>
      <c r="N364" s="58"/>
      <c r="O364" s="59"/>
      <c r="P364" s="58"/>
      <c r="Q364" s="60"/>
      <c r="R364" s="61"/>
      <c r="S364" s="61"/>
      <c r="T364" s="61"/>
      <c r="U364" s="61"/>
      <c r="V364" s="61"/>
      <c r="W364" s="61"/>
      <c r="X364" s="301" t="s">
        <v>562</v>
      </c>
      <c r="Y364" s="295" t="s">
        <v>62</v>
      </c>
      <c r="Z364" s="318" t="s">
        <v>7</v>
      </c>
      <c r="AA364" s="296" t="s">
        <v>6</v>
      </c>
      <c r="AB364" s="348" t="s">
        <v>112</v>
      </c>
      <c r="AC364" s="317"/>
      <c r="AD364" s="459">
        <f>AD365</f>
        <v>80893.600000000006</v>
      </c>
      <c r="AE364" s="428">
        <f t="shared" si="75"/>
        <v>43856</v>
      </c>
      <c r="AF364" s="438">
        <f t="shared" si="75"/>
        <v>43856</v>
      </c>
      <c r="AG364" s="19"/>
      <c r="AH364" s="19"/>
      <c r="AI364" s="113"/>
    </row>
    <row r="365" spans="1:35" s="62" customFormat="1" x14ac:dyDescent="0.25">
      <c r="A365" s="53"/>
      <c r="B365" s="54"/>
      <c r="C365" s="56"/>
      <c r="D365" s="57"/>
      <c r="E365" s="57"/>
      <c r="F365" s="57"/>
      <c r="G365" s="58"/>
      <c r="H365" s="58"/>
      <c r="I365" s="58"/>
      <c r="J365" s="58"/>
      <c r="K365" s="58"/>
      <c r="L365" s="58"/>
      <c r="M365" s="58"/>
      <c r="N365" s="58"/>
      <c r="O365" s="59"/>
      <c r="P365" s="58"/>
      <c r="Q365" s="60"/>
      <c r="R365" s="61"/>
      <c r="S365" s="61"/>
      <c r="T365" s="61"/>
      <c r="U365" s="61"/>
      <c r="V365" s="61"/>
      <c r="W365" s="61"/>
      <c r="X365" s="294" t="s">
        <v>495</v>
      </c>
      <c r="Y365" s="295" t="s">
        <v>62</v>
      </c>
      <c r="Z365" s="318" t="s">
        <v>7</v>
      </c>
      <c r="AA365" s="296" t="s">
        <v>6</v>
      </c>
      <c r="AB365" s="348" t="s">
        <v>376</v>
      </c>
      <c r="AC365" s="323"/>
      <c r="AD365" s="461">
        <f>AD366+AD377+AD370</f>
        <v>80893.600000000006</v>
      </c>
      <c r="AE365" s="430">
        <f t="shared" si="75"/>
        <v>43856</v>
      </c>
      <c r="AF365" s="439">
        <f t="shared" si="75"/>
        <v>43856</v>
      </c>
      <c r="AG365" s="19"/>
      <c r="AH365" s="19"/>
      <c r="AI365" s="113"/>
    </row>
    <row r="366" spans="1:35" s="62" customFormat="1" ht="32.25" customHeight="1" x14ac:dyDescent="0.25">
      <c r="A366" s="53"/>
      <c r="B366" s="54"/>
      <c r="C366" s="56"/>
      <c r="D366" s="57"/>
      <c r="E366" s="57"/>
      <c r="F366" s="57"/>
      <c r="G366" s="58"/>
      <c r="H366" s="58"/>
      <c r="I366" s="58"/>
      <c r="J366" s="58"/>
      <c r="K366" s="58"/>
      <c r="L366" s="58"/>
      <c r="M366" s="58"/>
      <c r="N366" s="58"/>
      <c r="O366" s="59"/>
      <c r="P366" s="58"/>
      <c r="Q366" s="60"/>
      <c r="R366" s="61"/>
      <c r="S366" s="61"/>
      <c r="T366" s="61"/>
      <c r="U366" s="61"/>
      <c r="V366" s="61"/>
      <c r="W366" s="61"/>
      <c r="X366" s="294" t="s">
        <v>418</v>
      </c>
      <c r="Y366" s="295" t="s">
        <v>62</v>
      </c>
      <c r="Z366" s="296" t="s">
        <v>7</v>
      </c>
      <c r="AA366" s="296" t="s">
        <v>6</v>
      </c>
      <c r="AB366" s="348" t="s">
        <v>377</v>
      </c>
      <c r="AC366" s="323"/>
      <c r="AD366" s="461">
        <f t="shared" ref="AD366:AF368" si="76">AD367</f>
        <v>72348.100000000006</v>
      </c>
      <c r="AE366" s="430">
        <f t="shared" si="76"/>
        <v>43856</v>
      </c>
      <c r="AF366" s="439">
        <f t="shared" si="76"/>
        <v>43856</v>
      </c>
      <c r="AG366" s="19"/>
      <c r="AH366" s="19"/>
      <c r="AI366" s="113"/>
    </row>
    <row r="367" spans="1:35" s="62" customFormat="1" ht="31.5" x14ac:dyDescent="0.25">
      <c r="A367" s="53"/>
      <c r="B367" s="54"/>
      <c r="C367" s="56"/>
      <c r="D367" s="57"/>
      <c r="E367" s="57"/>
      <c r="F367" s="57"/>
      <c r="G367" s="58"/>
      <c r="H367" s="58"/>
      <c r="I367" s="58"/>
      <c r="J367" s="58"/>
      <c r="K367" s="58"/>
      <c r="L367" s="58"/>
      <c r="M367" s="58"/>
      <c r="N367" s="58"/>
      <c r="O367" s="59"/>
      <c r="P367" s="58"/>
      <c r="Q367" s="60"/>
      <c r="R367" s="61"/>
      <c r="S367" s="61"/>
      <c r="T367" s="61"/>
      <c r="U367" s="61"/>
      <c r="V367" s="61"/>
      <c r="W367" s="61"/>
      <c r="X367" s="446" t="s">
        <v>375</v>
      </c>
      <c r="Y367" s="295" t="s">
        <v>62</v>
      </c>
      <c r="Z367" s="296" t="s">
        <v>7</v>
      </c>
      <c r="AA367" s="296" t="s">
        <v>6</v>
      </c>
      <c r="AB367" s="348" t="s">
        <v>378</v>
      </c>
      <c r="AC367" s="323"/>
      <c r="AD367" s="461">
        <f t="shared" si="76"/>
        <v>72348.100000000006</v>
      </c>
      <c r="AE367" s="430">
        <f t="shared" si="76"/>
        <v>43856</v>
      </c>
      <c r="AF367" s="439">
        <f t="shared" si="76"/>
        <v>43856</v>
      </c>
      <c r="AG367" s="19"/>
      <c r="AH367" s="19"/>
      <c r="AI367" s="113"/>
    </row>
    <row r="368" spans="1:35" s="62" customFormat="1" ht="31.5" x14ac:dyDescent="0.25">
      <c r="A368" s="53"/>
      <c r="B368" s="54"/>
      <c r="C368" s="56"/>
      <c r="D368" s="57"/>
      <c r="E368" s="57"/>
      <c r="F368" s="57"/>
      <c r="G368" s="58"/>
      <c r="H368" s="58"/>
      <c r="I368" s="58"/>
      <c r="J368" s="58"/>
      <c r="K368" s="58"/>
      <c r="L368" s="58"/>
      <c r="M368" s="58"/>
      <c r="N368" s="58"/>
      <c r="O368" s="59"/>
      <c r="P368" s="58"/>
      <c r="Q368" s="60"/>
      <c r="R368" s="61"/>
      <c r="S368" s="61"/>
      <c r="T368" s="61"/>
      <c r="U368" s="61"/>
      <c r="V368" s="61"/>
      <c r="W368" s="61"/>
      <c r="X368" s="294" t="s">
        <v>59</v>
      </c>
      <c r="Y368" s="295" t="s">
        <v>62</v>
      </c>
      <c r="Z368" s="296" t="s">
        <v>7</v>
      </c>
      <c r="AA368" s="296" t="s">
        <v>6</v>
      </c>
      <c r="AB368" s="348" t="s">
        <v>378</v>
      </c>
      <c r="AC368" s="323">
        <v>600</v>
      </c>
      <c r="AD368" s="461">
        <f t="shared" si="76"/>
        <v>72348.100000000006</v>
      </c>
      <c r="AE368" s="430">
        <f t="shared" si="76"/>
        <v>43856</v>
      </c>
      <c r="AF368" s="439">
        <f t="shared" si="76"/>
        <v>43856</v>
      </c>
      <c r="AG368" s="19"/>
      <c r="AH368" s="19"/>
      <c r="AI368" s="113"/>
    </row>
    <row r="369" spans="1:35" s="62" customFormat="1" x14ac:dyDescent="0.25">
      <c r="A369" s="53"/>
      <c r="B369" s="54"/>
      <c r="C369" s="56"/>
      <c r="D369" s="57"/>
      <c r="E369" s="57"/>
      <c r="F369" s="57"/>
      <c r="G369" s="58"/>
      <c r="H369" s="58"/>
      <c r="I369" s="58"/>
      <c r="J369" s="58"/>
      <c r="K369" s="58"/>
      <c r="L369" s="58"/>
      <c r="M369" s="58"/>
      <c r="N369" s="58"/>
      <c r="O369" s="59"/>
      <c r="P369" s="58"/>
      <c r="Q369" s="60"/>
      <c r="R369" s="61"/>
      <c r="S369" s="61"/>
      <c r="T369" s="61"/>
      <c r="U369" s="61"/>
      <c r="V369" s="61"/>
      <c r="W369" s="61"/>
      <c r="X369" s="294" t="s">
        <v>60</v>
      </c>
      <c r="Y369" s="295" t="s">
        <v>62</v>
      </c>
      <c r="Z369" s="296" t="s">
        <v>7</v>
      </c>
      <c r="AA369" s="296" t="s">
        <v>6</v>
      </c>
      <c r="AB369" s="348" t="s">
        <v>378</v>
      </c>
      <c r="AC369" s="323">
        <v>610</v>
      </c>
      <c r="AD369" s="459">
        <f>69048.1+3300</f>
        <v>72348.100000000006</v>
      </c>
      <c r="AE369" s="428">
        <v>43856</v>
      </c>
      <c r="AF369" s="438">
        <v>43856</v>
      </c>
      <c r="AG369" s="19"/>
      <c r="AH369" s="19"/>
      <c r="AI369" s="113"/>
    </row>
    <row r="370" spans="1:35" s="62" customFormat="1" ht="31.5" x14ac:dyDescent="0.25">
      <c r="A370" s="53"/>
      <c r="B370" s="54"/>
      <c r="C370" s="56"/>
      <c r="D370" s="57"/>
      <c r="E370" s="57"/>
      <c r="F370" s="57"/>
      <c r="G370" s="58"/>
      <c r="H370" s="58"/>
      <c r="I370" s="58"/>
      <c r="J370" s="58"/>
      <c r="K370" s="58"/>
      <c r="L370" s="58"/>
      <c r="M370" s="58"/>
      <c r="N370" s="58"/>
      <c r="O370" s="59"/>
      <c r="P370" s="58"/>
      <c r="Q370" s="60"/>
      <c r="R370" s="61"/>
      <c r="S370" s="61"/>
      <c r="T370" s="61"/>
      <c r="U370" s="61"/>
      <c r="V370" s="61"/>
      <c r="W370" s="61"/>
      <c r="X370" s="294" t="s">
        <v>722</v>
      </c>
      <c r="Y370" s="295" t="s">
        <v>62</v>
      </c>
      <c r="Z370" s="296" t="s">
        <v>7</v>
      </c>
      <c r="AA370" s="296" t="s">
        <v>6</v>
      </c>
      <c r="AB370" s="348" t="s">
        <v>723</v>
      </c>
      <c r="AC370" s="323"/>
      <c r="AD370" s="459">
        <f>AD374+AD371</f>
        <v>2528.4</v>
      </c>
      <c r="AE370" s="459">
        <f>AE374+AE371</f>
        <v>0</v>
      </c>
      <c r="AF370" s="459">
        <f>AF374+AF371</f>
        <v>0</v>
      </c>
      <c r="AG370" s="19"/>
      <c r="AH370" s="19"/>
      <c r="AI370" s="113"/>
    </row>
    <row r="371" spans="1:35" s="62" customFormat="1" ht="70.5" customHeight="1" x14ac:dyDescent="0.25">
      <c r="A371" s="53"/>
      <c r="B371" s="54"/>
      <c r="C371" s="56"/>
      <c r="D371" s="57"/>
      <c r="E371" s="57"/>
      <c r="F371" s="57"/>
      <c r="G371" s="58"/>
      <c r="H371" s="58"/>
      <c r="I371" s="58"/>
      <c r="J371" s="58"/>
      <c r="K371" s="58"/>
      <c r="L371" s="58"/>
      <c r="M371" s="58"/>
      <c r="N371" s="58"/>
      <c r="O371" s="59"/>
      <c r="P371" s="58"/>
      <c r="Q371" s="60"/>
      <c r="R371" s="61"/>
      <c r="S371" s="61"/>
      <c r="T371" s="61"/>
      <c r="U371" s="61"/>
      <c r="V371" s="61"/>
      <c r="W371" s="61"/>
      <c r="X371" s="294" t="s">
        <v>843</v>
      </c>
      <c r="Y371" s="295" t="s">
        <v>62</v>
      </c>
      <c r="Z371" s="296" t="s">
        <v>7</v>
      </c>
      <c r="AA371" s="296" t="s">
        <v>6</v>
      </c>
      <c r="AB371" s="348" t="s">
        <v>844</v>
      </c>
      <c r="AC371" s="323"/>
      <c r="AD371" s="459">
        <f t="shared" ref="AD371:AF372" si="77">AD372</f>
        <v>28.6</v>
      </c>
      <c r="AE371" s="459">
        <f t="shared" si="77"/>
        <v>0</v>
      </c>
      <c r="AF371" s="459">
        <f t="shared" si="77"/>
        <v>0</v>
      </c>
      <c r="AG371" s="19"/>
      <c r="AH371" s="19"/>
      <c r="AI371" s="113"/>
    </row>
    <row r="372" spans="1:35" s="62" customFormat="1" ht="31.5" x14ac:dyDescent="0.25">
      <c r="A372" s="53"/>
      <c r="B372" s="54"/>
      <c r="C372" s="56"/>
      <c r="D372" s="57"/>
      <c r="E372" s="57"/>
      <c r="F372" s="57"/>
      <c r="G372" s="58"/>
      <c r="H372" s="58"/>
      <c r="I372" s="58"/>
      <c r="J372" s="58"/>
      <c r="K372" s="58"/>
      <c r="L372" s="58"/>
      <c r="M372" s="58"/>
      <c r="N372" s="58"/>
      <c r="O372" s="59"/>
      <c r="P372" s="58"/>
      <c r="Q372" s="60"/>
      <c r="R372" s="61"/>
      <c r="S372" s="61"/>
      <c r="T372" s="61"/>
      <c r="U372" s="61"/>
      <c r="V372" s="61"/>
      <c r="W372" s="61"/>
      <c r="X372" s="294" t="s">
        <v>59</v>
      </c>
      <c r="Y372" s="295" t="s">
        <v>62</v>
      </c>
      <c r="Z372" s="296" t="s">
        <v>7</v>
      </c>
      <c r="AA372" s="296" t="s">
        <v>6</v>
      </c>
      <c r="AB372" s="348" t="s">
        <v>844</v>
      </c>
      <c r="AC372" s="323">
        <v>600</v>
      </c>
      <c r="AD372" s="459">
        <f t="shared" si="77"/>
        <v>28.6</v>
      </c>
      <c r="AE372" s="459">
        <f t="shared" si="77"/>
        <v>0</v>
      </c>
      <c r="AF372" s="459">
        <f t="shared" si="77"/>
        <v>0</v>
      </c>
      <c r="AG372" s="19"/>
      <c r="AH372" s="19"/>
      <c r="AI372" s="113"/>
    </row>
    <row r="373" spans="1:35" s="62" customFormat="1" x14ac:dyDescent="0.25">
      <c r="A373" s="53"/>
      <c r="B373" s="54"/>
      <c r="C373" s="56"/>
      <c r="D373" s="57"/>
      <c r="E373" s="57"/>
      <c r="F373" s="57"/>
      <c r="G373" s="58"/>
      <c r="H373" s="58"/>
      <c r="I373" s="58"/>
      <c r="J373" s="58"/>
      <c r="K373" s="58"/>
      <c r="L373" s="58"/>
      <c r="M373" s="58"/>
      <c r="N373" s="58"/>
      <c r="O373" s="59"/>
      <c r="P373" s="58"/>
      <c r="Q373" s="60"/>
      <c r="R373" s="61"/>
      <c r="S373" s="61"/>
      <c r="T373" s="61"/>
      <c r="U373" s="61"/>
      <c r="V373" s="61"/>
      <c r="W373" s="61"/>
      <c r="X373" s="294" t="s">
        <v>60</v>
      </c>
      <c r="Y373" s="295" t="s">
        <v>62</v>
      </c>
      <c r="Z373" s="296" t="s">
        <v>7</v>
      </c>
      <c r="AA373" s="296" t="s">
        <v>6</v>
      </c>
      <c r="AB373" s="348" t="s">
        <v>844</v>
      </c>
      <c r="AC373" s="323">
        <v>610</v>
      </c>
      <c r="AD373" s="459">
        <v>28.6</v>
      </c>
      <c r="AE373" s="428">
        <v>0</v>
      </c>
      <c r="AF373" s="438">
        <v>0</v>
      </c>
      <c r="AG373" s="19"/>
      <c r="AH373" s="19"/>
      <c r="AI373" s="113"/>
    </row>
    <row r="374" spans="1:35" s="62" customFormat="1" ht="41.25" customHeight="1" x14ac:dyDescent="0.25">
      <c r="A374" s="53"/>
      <c r="B374" s="54"/>
      <c r="C374" s="56"/>
      <c r="D374" s="57"/>
      <c r="E374" s="57"/>
      <c r="F374" s="57"/>
      <c r="G374" s="58"/>
      <c r="H374" s="58"/>
      <c r="I374" s="58"/>
      <c r="J374" s="58"/>
      <c r="K374" s="58"/>
      <c r="L374" s="58"/>
      <c r="M374" s="58"/>
      <c r="N374" s="58"/>
      <c r="O374" s="59"/>
      <c r="P374" s="58"/>
      <c r="Q374" s="60"/>
      <c r="R374" s="61"/>
      <c r="S374" s="61"/>
      <c r="T374" s="61"/>
      <c r="U374" s="61"/>
      <c r="V374" s="61"/>
      <c r="W374" s="61"/>
      <c r="X374" s="294" t="s">
        <v>754</v>
      </c>
      <c r="Y374" s="295" t="s">
        <v>62</v>
      </c>
      <c r="Z374" s="296" t="s">
        <v>7</v>
      </c>
      <c r="AA374" s="296" t="s">
        <v>6</v>
      </c>
      <c r="AB374" s="348" t="s">
        <v>724</v>
      </c>
      <c r="AC374" s="323"/>
      <c r="AD374" s="459">
        <f t="shared" ref="AD374:AF375" si="78">AD375</f>
        <v>2499.8000000000002</v>
      </c>
      <c r="AE374" s="428">
        <f t="shared" si="78"/>
        <v>0</v>
      </c>
      <c r="AF374" s="438">
        <f t="shared" si="78"/>
        <v>0</v>
      </c>
      <c r="AG374" s="19"/>
      <c r="AH374" s="19"/>
      <c r="AI374" s="113"/>
    </row>
    <row r="375" spans="1:35" s="62" customFormat="1" ht="31.5" x14ac:dyDescent="0.25">
      <c r="A375" s="53"/>
      <c r="B375" s="54"/>
      <c r="C375" s="56"/>
      <c r="D375" s="57"/>
      <c r="E375" s="57"/>
      <c r="F375" s="57"/>
      <c r="G375" s="58"/>
      <c r="H375" s="58"/>
      <c r="I375" s="58"/>
      <c r="J375" s="58"/>
      <c r="K375" s="58"/>
      <c r="L375" s="58"/>
      <c r="M375" s="58"/>
      <c r="N375" s="58"/>
      <c r="O375" s="59"/>
      <c r="P375" s="58"/>
      <c r="Q375" s="60"/>
      <c r="R375" s="61"/>
      <c r="S375" s="61"/>
      <c r="T375" s="61"/>
      <c r="U375" s="61"/>
      <c r="V375" s="61"/>
      <c r="W375" s="61"/>
      <c r="X375" s="294" t="s">
        <v>59</v>
      </c>
      <c r="Y375" s="295" t="s">
        <v>62</v>
      </c>
      <c r="Z375" s="296" t="s">
        <v>7</v>
      </c>
      <c r="AA375" s="296" t="s">
        <v>6</v>
      </c>
      <c r="AB375" s="348" t="s">
        <v>724</v>
      </c>
      <c r="AC375" s="323">
        <v>600</v>
      </c>
      <c r="AD375" s="459">
        <f t="shared" si="78"/>
        <v>2499.8000000000002</v>
      </c>
      <c r="AE375" s="428">
        <f t="shared" si="78"/>
        <v>0</v>
      </c>
      <c r="AF375" s="438">
        <f t="shared" si="78"/>
        <v>0</v>
      </c>
      <c r="AG375" s="19"/>
      <c r="AH375" s="19"/>
      <c r="AI375" s="113"/>
    </row>
    <row r="376" spans="1:35" s="62" customFormat="1" ht="19.5" customHeight="1" x14ac:dyDescent="0.25">
      <c r="A376" s="53"/>
      <c r="B376" s="54"/>
      <c r="C376" s="56"/>
      <c r="D376" s="57"/>
      <c r="E376" s="57"/>
      <c r="F376" s="57"/>
      <c r="G376" s="58"/>
      <c r="H376" s="58"/>
      <c r="I376" s="58"/>
      <c r="J376" s="58"/>
      <c r="K376" s="58"/>
      <c r="L376" s="58"/>
      <c r="M376" s="58"/>
      <c r="N376" s="58"/>
      <c r="O376" s="59"/>
      <c r="P376" s="58"/>
      <c r="Q376" s="60"/>
      <c r="R376" s="61"/>
      <c r="S376" s="61"/>
      <c r="T376" s="61"/>
      <c r="U376" s="61"/>
      <c r="V376" s="61"/>
      <c r="W376" s="61"/>
      <c r="X376" s="294" t="s">
        <v>60</v>
      </c>
      <c r="Y376" s="295" t="s">
        <v>62</v>
      </c>
      <c r="Z376" s="296" t="s">
        <v>7</v>
      </c>
      <c r="AA376" s="296" t="s">
        <v>6</v>
      </c>
      <c r="AB376" s="348" t="s">
        <v>724</v>
      </c>
      <c r="AC376" s="323">
        <v>610</v>
      </c>
      <c r="AD376" s="459">
        <v>2499.8000000000002</v>
      </c>
      <c r="AE376" s="428">
        <v>0</v>
      </c>
      <c r="AF376" s="438">
        <v>0</v>
      </c>
      <c r="AG376" s="19"/>
      <c r="AH376" s="19"/>
      <c r="AI376" s="113"/>
    </row>
    <row r="377" spans="1:35" s="62" customFormat="1" x14ac:dyDescent="0.25">
      <c r="A377" s="53"/>
      <c r="B377" s="54"/>
      <c r="C377" s="56"/>
      <c r="D377" s="57"/>
      <c r="E377" s="57"/>
      <c r="F377" s="57"/>
      <c r="G377" s="58"/>
      <c r="H377" s="58"/>
      <c r="I377" s="58"/>
      <c r="J377" s="58"/>
      <c r="K377" s="58"/>
      <c r="L377" s="58"/>
      <c r="M377" s="58"/>
      <c r="N377" s="58"/>
      <c r="O377" s="59"/>
      <c r="P377" s="58"/>
      <c r="Q377" s="60"/>
      <c r="R377" s="61"/>
      <c r="S377" s="61"/>
      <c r="T377" s="61"/>
      <c r="U377" s="61"/>
      <c r="V377" s="61"/>
      <c r="W377" s="61"/>
      <c r="X377" s="294" t="s">
        <v>718</v>
      </c>
      <c r="Y377" s="295" t="s">
        <v>62</v>
      </c>
      <c r="Z377" s="296" t="s">
        <v>7</v>
      </c>
      <c r="AA377" s="296" t="s">
        <v>6</v>
      </c>
      <c r="AB377" s="348" t="s">
        <v>721</v>
      </c>
      <c r="AC377" s="323"/>
      <c r="AD377" s="459">
        <f>AD378</f>
        <v>6017.1</v>
      </c>
      <c r="AE377" s="428">
        <f t="shared" ref="AE377:AF379" si="79">AE378</f>
        <v>0</v>
      </c>
      <c r="AF377" s="438">
        <f t="shared" si="79"/>
        <v>0</v>
      </c>
      <c r="AG377" s="19"/>
      <c r="AH377" s="19"/>
      <c r="AI377" s="113"/>
    </row>
    <row r="378" spans="1:35" s="62" customFormat="1" ht="53.25" customHeight="1" x14ac:dyDescent="0.25">
      <c r="A378" s="53"/>
      <c r="B378" s="54"/>
      <c r="C378" s="56"/>
      <c r="D378" s="57"/>
      <c r="E378" s="57"/>
      <c r="F378" s="57"/>
      <c r="G378" s="58"/>
      <c r="H378" s="58"/>
      <c r="I378" s="58"/>
      <c r="J378" s="58"/>
      <c r="K378" s="58"/>
      <c r="L378" s="58"/>
      <c r="M378" s="58"/>
      <c r="N378" s="58"/>
      <c r="O378" s="59"/>
      <c r="P378" s="58"/>
      <c r="Q378" s="60"/>
      <c r="R378" s="61"/>
      <c r="S378" s="61"/>
      <c r="T378" s="61"/>
      <c r="U378" s="61"/>
      <c r="V378" s="61"/>
      <c r="W378" s="61"/>
      <c r="X378" s="294" t="s">
        <v>719</v>
      </c>
      <c r="Y378" s="295" t="s">
        <v>62</v>
      </c>
      <c r="Z378" s="296" t="s">
        <v>7</v>
      </c>
      <c r="AA378" s="296" t="s">
        <v>6</v>
      </c>
      <c r="AB378" s="348" t="s">
        <v>720</v>
      </c>
      <c r="AC378" s="323"/>
      <c r="AD378" s="459">
        <f>AD379</f>
        <v>6017.1</v>
      </c>
      <c r="AE378" s="428">
        <f t="shared" si="79"/>
        <v>0</v>
      </c>
      <c r="AF378" s="438">
        <f t="shared" si="79"/>
        <v>0</v>
      </c>
      <c r="AG378" s="19"/>
      <c r="AH378" s="19"/>
      <c r="AI378" s="113"/>
    </row>
    <row r="379" spans="1:35" s="62" customFormat="1" ht="31.5" x14ac:dyDescent="0.25">
      <c r="A379" s="53"/>
      <c r="B379" s="54"/>
      <c r="C379" s="56"/>
      <c r="D379" s="57"/>
      <c r="E379" s="57"/>
      <c r="F379" s="57"/>
      <c r="G379" s="58"/>
      <c r="H379" s="58"/>
      <c r="I379" s="58"/>
      <c r="J379" s="58"/>
      <c r="K379" s="58"/>
      <c r="L379" s="58"/>
      <c r="M379" s="58"/>
      <c r="N379" s="58"/>
      <c r="O379" s="59"/>
      <c r="P379" s="58"/>
      <c r="Q379" s="60"/>
      <c r="R379" s="61"/>
      <c r="S379" s="61"/>
      <c r="T379" s="61"/>
      <c r="U379" s="61"/>
      <c r="V379" s="61"/>
      <c r="W379" s="61"/>
      <c r="X379" s="294" t="s">
        <v>59</v>
      </c>
      <c r="Y379" s="295" t="s">
        <v>62</v>
      </c>
      <c r="Z379" s="296" t="s">
        <v>7</v>
      </c>
      <c r="AA379" s="296" t="s">
        <v>6</v>
      </c>
      <c r="AB379" s="348" t="s">
        <v>720</v>
      </c>
      <c r="AC379" s="323">
        <v>600</v>
      </c>
      <c r="AD379" s="459">
        <f>AD380</f>
        <v>6017.1</v>
      </c>
      <c r="AE379" s="428">
        <f t="shared" si="79"/>
        <v>0</v>
      </c>
      <c r="AF379" s="438">
        <f t="shared" si="79"/>
        <v>0</v>
      </c>
      <c r="AG379" s="19"/>
      <c r="AH379" s="19"/>
      <c r="AI379" s="113"/>
    </row>
    <row r="380" spans="1:35" s="62" customFormat="1" x14ac:dyDescent="0.25">
      <c r="A380" s="53"/>
      <c r="B380" s="54"/>
      <c r="C380" s="56"/>
      <c r="D380" s="57"/>
      <c r="E380" s="57"/>
      <c r="F380" s="57"/>
      <c r="G380" s="58"/>
      <c r="H380" s="58"/>
      <c r="I380" s="58"/>
      <c r="J380" s="58"/>
      <c r="K380" s="58"/>
      <c r="L380" s="58"/>
      <c r="M380" s="58"/>
      <c r="N380" s="58"/>
      <c r="O380" s="59"/>
      <c r="P380" s="58"/>
      <c r="Q380" s="60"/>
      <c r="R380" s="61"/>
      <c r="S380" s="61"/>
      <c r="T380" s="61"/>
      <c r="U380" s="61"/>
      <c r="V380" s="61"/>
      <c r="W380" s="61"/>
      <c r="X380" s="294" t="s">
        <v>60</v>
      </c>
      <c r="Y380" s="295" t="s">
        <v>62</v>
      </c>
      <c r="Z380" s="296" t="s">
        <v>7</v>
      </c>
      <c r="AA380" s="296" t="s">
        <v>6</v>
      </c>
      <c r="AB380" s="348" t="s">
        <v>720</v>
      </c>
      <c r="AC380" s="323">
        <v>610</v>
      </c>
      <c r="AD380" s="459">
        <f>4940+1077.1</f>
        <v>6017.1</v>
      </c>
      <c r="AE380" s="428">
        <v>0</v>
      </c>
      <c r="AF380" s="438">
        <v>0</v>
      </c>
      <c r="AG380" s="19"/>
      <c r="AH380" s="19"/>
      <c r="AI380" s="113"/>
    </row>
    <row r="381" spans="1:35" x14ac:dyDescent="0.25">
      <c r="B381" s="63"/>
      <c r="C381" s="64"/>
      <c r="D381" s="64"/>
      <c r="E381" s="12"/>
      <c r="F381" s="12"/>
      <c r="G381" s="65"/>
      <c r="H381" s="65"/>
      <c r="I381" s="65"/>
      <c r="J381" s="65"/>
      <c r="K381" s="65"/>
      <c r="L381" s="58"/>
      <c r="M381" s="65"/>
      <c r="N381" s="58"/>
      <c r="P381" s="65"/>
      <c r="Q381" s="66"/>
      <c r="R381" s="16"/>
      <c r="S381" s="16"/>
      <c r="T381" s="16"/>
      <c r="U381" s="16"/>
      <c r="V381" s="16"/>
      <c r="W381" s="16"/>
      <c r="X381" s="294" t="s">
        <v>133</v>
      </c>
      <c r="Y381" s="295" t="s">
        <v>62</v>
      </c>
      <c r="Z381" s="296" t="s">
        <v>7</v>
      </c>
      <c r="AA381" s="296" t="s">
        <v>7</v>
      </c>
      <c r="AB381" s="347"/>
      <c r="AC381" s="323"/>
      <c r="AD381" s="459">
        <f>AD382+AD388</f>
        <v>1736.3999999999999</v>
      </c>
      <c r="AE381" s="428">
        <f>AE382+AE388</f>
        <v>907.40000000000009</v>
      </c>
      <c r="AF381" s="438">
        <f>AF382+AF388</f>
        <v>995.90000000000009</v>
      </c>
      <c r="AG381" s="19"/>
      <c r="AH381" s="19"/>
      <c r="AI381" s="113"/>
    </row>
    <row r="382" spans="1:35" ht="31.5" x14ac:dyDescent="0.25">
      <c r="B382" s="63"/>
      <c r="C382" s="64"/>
      <c r="D382" s="64"/>
      <c r="E382" s="12"/>
      <c r="F382" s="12"/>
      <c r="G382" s="65"/>
      <c r="H382" s="65"/>
      <c r="I382" s="65"/>
      <c r="J382" s="65"/>
      <c r="K382" s="65"/>
      <c r="L382" s="58"/>
      <c r="M382" s="65"/>
      <c r="N382" s="58"/>
      <c r="P382" s="65"/>
      <c r="Q382" s="66"/>
      <c r="R382" s="16"/>
      <c r="S382" s="16"/>
      <c r="T382" s="16"/>
      <c r="U382" s="16"/>
      <c r="V382" s="16"/>
      <c r="W382" s="16"/>
      <c r="X382" s="299" t="s">
        <v>159</v>
      </c>
      <c r="Y382" s="295" t="s">
        <v>62</v>
      </c>
      <c r="Z382" s="296" t="s">
        <v>7</v>
      </c>
      <c r="AA382" s="296" t="s">
        <v>7</v>
      </c>
      <c r="AB382" s="347" t="s">
        <v>100</v>
      </c>
      <c r="AC382" s="323"/>
      <c r="AD382" s="459">
        <f t="shared" ref="AD382:AF383" si="80">AD383</f>
        <v>286.8</v>
      </c>
      <c r="AE382" s="428">
        <f t="shared" si="80"/>
        <v>295.2</v>
      </c>
      <c r="AF382" s="438">
        <f t="shared" si="80"/>
        <v>295.2</v>
      </c>
      <c r="AG382" s="19"/>
      <c r="AH382" s="19"/>
      <c r="AI382" s="113"/>
    </row>
    <row r="383" spans="1:35" x14ac:dyDescent="0.25">
      <c r="B383" s="63"/>
      <c r="C383" s="64"/>
      <c r="D383" s="64"/>
      <c r="E383" s="12"/>
      <c r="F383" s="12"/>
      <c r="G383" s="65"/>
      <c r="H383" s="65"/>
      <c r="I383" s="65"/>
      <c r="J383" s="65"/>
      <c r="K383" s="65"/>
      <c r="L383" s="58"/>
      <c r="M383" s="65"/>
      <c r="N383" s="58"/>
      <c r="P383" s="65"/>
      <c r="Q383" s="66"/>
      <c r="R383" s="16"/>
      <c r="S383" s="16"/>
      <c r="T383" s="16"/>
      <c r="U383" s="16"/>
      <c r="V383" s="16"/>
      <c r="W383" s="16"/>
      <c r="X383" s="299" t="s">
        <v>160</v>
      </c>
      <c r="Y383" s="295" t="s">
        <v>62</v>
      </c>
      <c r="Z383" s="296" t="s">
        <v>7</v>
      </c>
      <c r="AA383" s="296" t="s">
        <v>7</v>
      </c>
      <c r="AB383" s="347" t="s">
        <v>104</v>
      </c>
      <c r="AC383" s="323"/>
      <c r="AD383" s="459">
        <f t="shared" si="80"/>
        <v>286.8</v>
      </c>
      <c r="AE383" s="428">
        <f t="shared" si="80"/>
        <v>295.2</v>
      </c>
      <c r="AF383" s="438">
        <f t="shared" si="80"/>
        <v>295.2</v>
      </c>
      <c r="AG383" s="19"/>
      <c r="AH383" s="19"/>
      <c r="AI383" s="113"/>
    </row>
    <row r="384" spans="1:35" ht="31.5" x14ac:dyDescent="0.25">
      <c r="B384" s="63"/>
      <c r="C384" s="64"/>
      <c r="D384" s="64"/>
      <c r="E384" s="12"/>
      <c r="F384" s="12"/>
      <c r="G384" s="65"/>
      <c r="H384" s="65"/>
      <c r="I384" s="65"/>
      <c r="J384" s="65"/>
      <c r="K384" s="65"/>
      <c r="L384" s="58"/>
      <c r="M384" s="65"/>
      <c r="N384" s="58"/>
      <c r="P384" s="65"/>
      <c r="Q384" s="66"/>
      <c r="R384" s="16"/>
      <c r="S384" s="16"/>
      <c r="T384" s="16"/>
      <c r="U384" s="16"/>
      <c r="V384" s="16"/>
      <c r="W384" s="16"/>
      <c r="X384" s="453" t="s">
        <v>522</v>
      </c>
      <c r="Y384" s="295" t="s">
        <v>62</v>
      </c>
      <c r="Z384" s="296" t="s">
        <v>7</v>
      </c>
      <c r="AA384" s="296" t="s">
        <v>7</v>
      </c>
      <c r="AB384" s="348" t="s">
        <v>164</v>
      </c>
      <c r="AC384" s="323"/>
      <c r="AD384" s="459">
        <f t="shared" ref="AD384:AF385" si="81">AD385</f>
        <v>286.8</v>
      </c>
      <c r="AE384" s="428">
        <f t="shared" si="81"/>
        <v>295.2</v>
      </c>
      <c r="AF384" s="438">
        <f t="shared" si="81"/>
        <v>295.2</v>
      </c>
      <c r="AG384" s="19"/>
      <c r="AH384" s="19"/>
      <c r="AI384" s="113"/>
    </row>
    <row r="385" spans="1:35" ht="31.5" x14ac:dyDescent="0.25">
      <c r="B385" s="63"/>
      <c r="C385" s="64"/>
      <c r="D385" s="64"/>
      <c r="E385" s="12"/>
      <c r="F385" s="12"/>
      <c r="G385" s="65"/>
      <c r="H385" s="65"/>
      <c r="I385" s="65"/>
      <c r="J385" s="65"/>
      <c r="K385" s="65"/>
      <c r="L385" s="58"/>
      <c r="M385" s="65"/>
      <c r="N385" s="58"/>
      <c r="P385" s="65"/>
      <c r="Q385" s="66"/>
      <c r="R385" s="16"/>
      <c r="S385" s="16"/>
      <c r="T385" s="16"/>
      <c r="U385" s="16"/>
      <c r="V385" s="16"/>
      <c r="W385" s="16"/>
      <c r="X385" s="299" t="s">
        <v>587</v>
      </c>
      <c r="Y385" s="295" t="s">
        <v>62</v>
      </c>
      <c r="Z385" s="296" t="s">
        <v>7</v>
      </c>
      <c r="AA385" s="296" t="s">
        <v>7</v>
      </c>
      <c r="AB385" s="348" t="s">
        <v>588</v>
      </c>
      <c r="AC385" s="323"/>
      <c r="AD385" s="459">
        <f t="shared" si="81"/>
        <v>286.8</v>
      </c>
      <c r="AE385" s="428">
        <f t="shared" si="81"/>
        <v>295.2</v>
      </c>
      <c r="AF385" s="438">
        <f t="shared" si="81"/>
        <v>295.2</v>
      </c>
      <c r="AG385" s="19"/>
      <c r="AH385" s="19"/>
      <c r="AI385" s="113"/>
    </row>
    <row r="386" spans="1:35" x14ac:dyDescent="0.25">
      <c r="B386" s="63"/>
      <c r="C386" s="64"/>
      <c r="D386" s="64"/>
      <c r="E386" s="12"/>
      <c r="F386" s="12"/>
      <c r="G386" s="65"/>
      <c r="H386" s="65"/>
      <c r="I386" s="65"/>
      <c r="J386" s="65"/>
      <c r="K386" s="65"/>
      <c r="L386" s="58"/>
      <c r="M386" s="65"/>
      <c r="N386" s="58"/>
      <c r="P386" s="65"/>
      <c r="Q386" s="66"/>
      <c r="R386" s="16"/>
      <c r="S386" s="16"/>
      <c r="T386" s="16"/>
      <c r="U386" s="16"/>
      <c r="V386" s="16"/>
      <c r="W386" s="16"/>
      <c r="X386" s="294" t="s">
        <v>118</v>
      </c>
      <c r="Y386" s="295" t="s">
        <v>62</v>
      </c>
      <c r="Z386" s="296" t="s">
        <v>7</v>
      </c>
      <c r="AA386" s="296" t="s">
        <v>7</v>
      </c>
      <c r="AB386" s="348" t="s">
        <v>588</v>
      </c>
      <c r="AC386" s="297">
        <v>200</v>
      </c>
      <c r="AD386" s="459">
        <f>AD387</f>
        <v>286.8</v>
      </c>
      <c r="AE386" s="428">
        <f>AE387</f>
        <v>295.2</v>
      </c>
      <c r="AF386" s="438">
        <f>AF387</f>
        <v>295.2</v>
      </c>
      <c r="AG386" s="19"/>
      <c r="AH386" s="19"/>
      <c r="AI386" s="113"/>
    </row>
    <row r="387" spans="1:35" ht="31.5" x14ac:dyDescent="0.25">
      <c r="B387" s="63"/>
      <c r="C387" s="64"/>
      <c r="D387" s="64"/>
      <c r="E387" s="12"/>
      <c r="F387" s="12"/>
      <c r="G387" s="65"/>
      <c r="H387" s="65"/>
      <c r="I387" s="65"/>
      <c r="J387" s="65"/>
      <c r="K387" s="65"/>
      <c r="L387" s="58"/>
      <c r="M387" s="65"/>
      <c r="N387" s="58"/>
      <c r="P387" s="65"/>
      <c r="Q387" s="66"/>
      <c r="R387" s="16"/>
      <c r="S387" s="16"/>
      <c r="T387" s="16"/>
      <c r="U387" s="16"/>
      <c r="V387" s="16"/>
      <c r="W387" s="16"/>
      <c r="X387" s="294" t="s">
        <v>51</v>
      </c>
      <c r="Y387" s="295" t="s">
        <v>62</v>
      </c>
      <c r="Z387" s="296" t="s">
        <v>7</v>
      </c>
      <c r="AA387" s="296" t="s">
        <v>7</v>
      </c>
      <c r="AB387" s="348" t="s">
        <v>588</v>
      </c>
      <c r="AC387" s="297">
        <v>240</v>
      </c>
      <c r="AD387" s="459">
        <f>295.2-8.4</f>
        <v>286.8</v>
      </c>
      <c r="AE387" s="428">
        <v>295.2</v>
      </c>
      <c r="AF387" s="438">
        <v>295.2</v>
      </c>
      <c r="AG387" s="19"/>
      <c r="AH387" s="19"/>
      <c r="AI387" s="113"/>
    </row>
    <row r="388" spans="1:35" ht="31.5" x14ac:dyDescent="0.25">
      <c r="A388" s="70"/>
      <c r="B388" s="63"/>
      <c r="C388" s="63"/>
      <c r="D388" s="63"/>
      <c r="E388" s="12"/>
      <c r="F388" s="64"/>
      <c r="G388" s="65"/>
      <c r="H388" s="3"/>
      <c r="L388" s="65"/>
      <c r="N388" s="65"/>
      <c r="Q388" s="66"/>
      <c r="R388" s="16"/>
      <c r="S388" s="16"/>
      <c r="T388" s="16"/>
      <c r="U388" s="16"/>
      <c r="V388" s="16"/>
      <c r="X388" s="301" t="s">
        <v>296</v>
      </c>
      <c r="Y388" s="295" t="s">
        <v>62</v>
      </c>
      <c r="Z388" s="296" t="s">
        <v>7</v>
      </c>
      <c r="AA388" s="296" t="s">
        <v>7</v>
      </c>
      <c r="AB388" s="348" t="s">
        <v>130</v>
      </c>
      <c r="AC388" s="297"/>
      <c r="AD388" s="459">
        <f>AD389+AD396</f>
        <v>1449.6</v>
      </c>
      <c r="AE388" s="459">
        <f>AE389+AE396</f>
        <v>612.20000000000005</v>
      </c>
      <c r="AF388" s="459">
        <f>AF389+AF396</f>
        <v>700.7</v>
      </c>
      <c r="AG388" s="19"/>
      <c r="AH388" s="19"/>
      <c r="AI388" s="113"/>
    </row>
    <row r="389" spans="1:35" x14ac:dyDescent="0.25">
      <c r="A389" s="70"/>
      <c r="B389" s="63"/>
      <c r="C389" s="63"/>
      <c r="D389" s="63"/>
      <c r="E389" s="12"/>
      <c r="F389" s="64"/>
      <c r="G389" s="65"/>
      <c r="H389" s="3"/>
      <c r="L389" s="65"/>
      <c r="N389" s="65"/>
      <c r="Q389" s="66"/>
      <c r="R389" s="16"/>
      <c r="S389" s="16"/>
      <c r="T389" s="16"/>
      <c r="U389" s="16"/>
      <c r="V389" s="16"/>
      <c r="X389" s="301" t="s">
        <v>305</v>
      </c>
      <c r="Y389" s="295" t="s">
        <v>62</v>
      </c>
      <c r="Z389" s="315" t="s">
        <v>7</v>
      </c>
      <c r="AA389" s="315" t="s">
        <v>7</v>
      </c>
      <c r="AB389" s="348" t="s">
        <v>306</v>
      </c>
      <c r="AC389" s="297"/>
      <c r="AD389" s="459">
        <f>AD390</f>
        <v>1330.6</v>
      </c>
      <c r="AE389" s="428">
        <f t="shared" ref="AD389:AF392" si="82">AE390</f>
        <v>612.20000000000005</v>
      </c>
      <c r="AF389" s="438">
        <f t="shared" si="82"/>
        <v>700.7</v>
      </c>
      <c r="AG389" s="19"/>
      <c r="AH389" s="19"/>
      <c r="AI389" s="113"/>
    </row>
    <row r="390" spans="1:35" x14ac:dyDescent="0.25">
      <c r="A390" s="70"/>
      <c r="B390" s="63"/>
      <c r="C390" s="63"/>
      <c r="D390" s="63"/>
      <c r="E390" s="12"/>
      <c r="F390" s="64"/>
      <c r="G390" s="65"/>
      <c r="H390" s="3"/>
      <c r="L390" s="65"/>
      <c r="N390" s="65"/>
      <c r="Q390" s="66"/>
      <c r="R390" s="16"/>
      <c r="S390" s="16"/>
      <c r="T390" s="16"/>
      <c r="U390" s="16"/>
      <c r="V390" s="16"/>
      <c r="X390" s="452" t="s">
        <v>508</v>
      </c>
      <c r="Y390" s="295" t="s">
        <v>62</v>
      </c>
      <c r="Z390" s="315" t="s">
        <v>7</v>
      </c>
      <c r="AA390" s="315" t="s">
        <v>7</v>
      </c>
      <c r="AB390" s="348" t="s">
        <v>307</v>
      </c>
      <c r="AC390" s="297"/>
      <c r="AD390" s="459">
        <f t="shared" si="82"/>
        <v>1330.6</v>
      </c>
      <c r="AE390" s="428">
        <f t="shared" si="82"/>
        <v>612.20000000000005</v>
      </c>
      <c r="AF390" s="438">
        <f t="shared" si="82"/>
        <v>700.7</v>
      </c>
      <c r="AG390" s="19"/>
      <c r="AH390" s="19"/>
      <c r="AI390" s="113"/>
    </row>
    <row r="391" spans="1:35" ht="30.75" customHeight="1" x14ac:dyDescent="0.25">
      <c r="A391" s="70"/>
      <c r="B391" s="63"/>
      <c r="C391" s="63"/>
      <c r="D391" s="63"/>
      <c r="E391" s="12"/>
      <c r="F391" s="64"/>
      <c r="G391" s="65"/>
      <c r="H391" s="3"/>
      <c r="L391" s="65"/>
      <c r="N391" s="65"/>
      <c r="Q391" s="66"/>
      <c r="R391" s="16"/>
      <c r="S391" s="16"/>
      <c r="T391" s="16"/>
      <c r="U391" s="16"/>
      <c r="V391" s="16"/>
      <c r="X391" s="449" t="s">
        <v>757</v>
      </c>
      <c r="Y391" s="295" t="s">
        <v>62</v>
      </c>
      <c r="Z391" s="296" t="s">
        <v>7</v>
      </c>
      <c r="AA391" s="296" t="s">
        <v>7</v>
      </c>
      <c r="AB391" s="348" t="s">
        <v>308</v>
      </c>
      <c r="AC391" s="297"/>
      <c r="AD391" s="459">
        <f>AD392+AD394</f>
        <v>1330.6</v>
      </c>
      <c r="AE391" s="428">
        <f>AE392+AE394</f>
        <v>612.20000000000005</v>
      </c>
      <c r="AF391" s="438">
        <f>AF392+AF394</f>
        <v>700.7</v>
      </c>
      <c r="AG391" s="19"/>
      <c r="AH391" s="19"/>
      <c r="AI391" s="113"/>
    </row>
    <row r="392" spans="1:35" x14ac:dyDescent="0.25">
      <c r="A392" s="70"/>
      <c r="B392" s="63"/>
      <c r="C392" s="63"/>
      <c r="D392" s="63"/>
      <c r="E392" s="12"/>
      <c r="F392" s="64"/>
      <c r="G392" s="65"/>
      <c r="H392" s="3"/>
      <c r="L392" s="65"/>
      <c r="N392" s="65"/>
      <c r="Q392" s="66"/>
      <c r="R392" s="16"/>
      <c r="S392" s="16"/>
      <c r="T392" s="16"/>
      <c r="U392" s="16"/>
      <c r="V392" s="16"/>
      <c r="X392" s="294" t="s">
        <v>118</v>
      </c>
      <c r="Y392" s="295" t="s">
        <v>62</v>
      </c>
      <c r="Z392" s="315" t="s">
        <v>7</v>
      </c>
      <c r="AA392" s="315" t="s">
        <v>7</v>
      </c>
      <c r="AB392" s="348" t="s">
        <v>308</v>
      </c>
      <c r="AC392" s="297">
        <v>200</v>
      </c>
      <c r="AD392" s="459">
        <f t="shared" si="82"/>
        <v>597.29999999999984</v>
      </c>
      <c r="AE392" s="428">
        <f t="shared" si="82"/>
        <v>450.00000000000006</v>
      </c>
      <c r="AF392" s="438">
        <f t="shared" si="82"/>
        <v>450.00000000000006</v>
      </c>
      <c r="AG392" s="19"/>
      <c r="AH392" s="19"/>
      <c r="AI392" s="113"/>
    </row>
    <row r="393" spans="1:35" ht="31.5" x14ac:dyDescent="0.25">
      <c r="A393" s="70"/>
      <c r="B393" s="63"/>
      <c r="C393" s="63"/>
      <c r="D393" s="63"/>
      <c r="E393" s="12"/>
      <c r="F393" s="64"/>
      <c r="G393" s="65"/>
      <c r="H393" s="3"/>
      <c r="L393" s="65"/>
      <c r="N393" s="65"/>
      <c r="Q393" s="66"/>
      <c r="R393" s="16"/>
      <c r="S393" s="16"/>
      <c r="T393" s="16"/>
      <c r="U393" s="16"/>
      <c r="V393" s="16"/>
      <c r="X393" s="294" t="s">
        <v>51</v>
      </c>
      <c r="Y393" s="295" t="s">
        <v>62</v>
      </c>
      <c r="Z393" s="315" t="s">
        <v>7</v>
      </c>
      <c r="AA393" s="315" t="s">
        <v>7</v>
      </c>
      <c r="AB393" s="348" t="s">
        <v>308</v>
      </c>
      <c r="AC393" s="297">
        <v>240</v>
      </c>
      <c r="AD393" s="459">
        <f>1330.6-650.6-82.7</f>
        <v>597.29999999999984</v>
      </c>
      <c r="AE393" s="428">
        <f>612.2-162.2</f>
        <v>450.00000000000006</v>
      </c>
      <c r="AF393" s="438">
        <f>700.7-AF395</f>
        <v>450.00000000000006</v>
      </c>
      <c r="AG393" s="19"/>
      <c r="AH393" s="19"/>
      <c r="AI393" s="113"/>
    </row>
    <row r="394" spans="1:35" ht="31.5" x14ac:dyDescent="0.25">
      <c r="A394" s="70"/>
      <c r="B394" s="63"/>
      <c r="C394" s="63"/>
      <c r="D394" s="63"/>
      <c r="E394" s="12"/>
      <c r="F394" s="64"/>
      <c r="G394" s="65"/>
      <c r="H394" s="3"/>
      <c r="L394" s="65"/>
      <c r="N394" s="65"/>
      <c r="Q394" s="66"/>
      <c r="R394" s="16"/>
      <c r="S394" s="16"/>
      <c r="T394" s="16"/>
      <c r="U394" s="16"/>
      <c r="V394" s="16"/>
      <c r="X394" s="294" t="s">
        <v>59</v>
      </c>
      <c r="Y394" s="295" t="s">
        <v>62</v>
      </c>
      <c r="Z394" s="315" t="s">
        <v>7</v>
      </c>
      <c r="AA394" s="315" t="s">
        <v>7</v>
      </c>
      <c r="AB394" s="348" t="s">
        <v>308</v>
      </c>
      <c r="AC394" s="297">
        <v>600</v>
      </c>
      <c r="AD394" s="459">
        <f>AD395</f>
        <v>733.30000000000007</v>
      </c>
      <c r="AE394" s="428">
        <f>AE395</f>
        <v>162.19999999999999</v>
      </c>
      <c r="AF394" s="438">
        <f>AF395</f>
        <v>250.7</v>
      </c>
      <c r="AG394" s="19"/>
      <c r="AH394" s="19"/>
      <c r="AI394" s="113"/>
    </row>
    <row r="395" spans="1:35" x14ac:dyDescent="0.25">
      <c r="A395" s="70"/>
      <c r="B395" s="63"/>
      <c r="C395" s="63"/>
      <c r="D395" s="63"/>
      <c r="E395" s="12"/>
      <c r="F395" s="64"/>
      <c r="G395" s="65"/>
      <c r="H395" s="3"/>
      <c r="L395" s="65"/>
      <c r="N395" s="65"/>
      <c r="Q395" s="66"/>
      <c r="R395" s="16"/>
      <c r="S395" s="16"/>
      <c r="T395" s="16"/>
      <c r="U395" s="16"/>
      <c r="V395" s="16"/>
      <c r="X395" s="294" t="s">
        <v>60</v>
      </c>
      <c r="Y395" s="295" t="s">
        <v>62</v>
      </c>
      <c r="Z395" s="315" t="s">
        <v>7</v>
      </c>
      <c r="AA395" s="315" t="s">
        <v>7</v>
      </c>
      <c r="AB395" s="348" t="s">
        <v>308</v>
      </c>
      <c r="AC395" s="297">
        <v>610</v>
      </c>
      <c r="AD395" s="459">
        <f>650.6+82.7</f>
        <v>733.30000000000007</v>
      </c>
      <c r="AE395" s="428">
        <v>162.19999999999999</v>
      </c>
      <c r="AF395" s="438">
        <v>250.7</v>
      </c>
      <c r="AG395" s="19"/>
      <c r="AH395" s="19"/>
      <c r="AI395" s="113"/>
    </row>
    <row r="396" spans="1:35" ht="31.5" x14ac:dyDescent="0.25">
      <c r="A396" s="70"/>
      <c r="B396" s="63"/>
      <c r="C396" s="63"/>
      <c r="D396" s="63"/>
      <c r="E396" s="12"/>
      <c r="F396" s="64"/>
      <c r="G396" s="65"/>
      <c r="H396" s="3"/>
      <c r="L396" s="65"/>
      <c r="N396" s="65"/>
      <c r="Q396" s="66"/>
      <c r="R396" s="16"/>
      <c r="S396" s="16"/>
      <c r="T396" s="16"/>
      <c r="U396" s="16"/>
      <c r="V396" s="16"/>
      <c r="X396" s="294" t="s">
        <v>796</v>
      </c>
      <c r="Y396" s="295" t="s">
        <v>62</v>
      </c>
      <c r="Z396" s="315" t="s">
        <v>7</v>
      </c>
      <c r="AA396" s="315" t="s">
        <v>7</v>
      </c>
      <c r="AB396" s="349" t="s">
        <v>800</v>
      </c>
      <c r="AC396" s="297"/>
      <c r="AD396" s="459">
        <f>AD397</f>
        <v>119</v>
      </c>
      <c r="AE396" s="459">
        <f t="shared" ref="AE396:AF399" si="83">AE397</f>
        <v>0</v>
      </c>
      <c r="AF396" s="459">
        <f t="shared" si="83"/>
        <v>0</v>
      </c>
      <c r="AG396" s="19"/>
      <c r="AH396" s="19"/>
      <c r="AI396" s="113"/>
    </row>
    <row r="397" spans="1:35" ht="31.5" x14ac:dyDescent="0.25">
      <c r="A397" s="70"/>
      <c r="B397" s="63"/>
      <c r="C397" s="63"/>
      <c r="D397" s="63"/>
      <c r="E397" s="12"/>
      <c r="F397" s="64"/>
      <c r="G397" s="65"/>
      <c r="H397" s="3"/>
      <c r="L397" s="65"/>
      <c r="N397" s="65"/>
      <c r="Q397" s="66"/>
      <c r="R397" s="16"/>
      <c r="S397" s="16"/>
      <c r="T397" s="16"/>
      <c r="U397" s="16"/>
      <c r="V397" s="16"/>
      <c r="X397" s="294" t="s">
        <v>795</v>
      </c>
      <c r="Y397" s="295" t="s">
        <v>62</v>
      </c>
      <c r="Z397" s="296" t="s">
        <v>7</v>
      </c>
      <c r="AA397" s="296" t="s">
        <v>7</v>
      </c>
      <c r="AB397" s="349" t="s">
        <v>799</v>
      </c>
      <c r="AC397" s="297"/>
      <c r="AD397" s="459">
        <f>AD398</f>
        <v>119</v>
      </c>
      <c r="AE397" s="459">
        <f t="shared" si="83"/>
        <v>0</v>
      </c>
      <c r="AF397" s="459">
        <f t="shared" si="83"/>
        <v>0</v>
      </c>
      <c r="AG397" s="19"/>
      <c r="AH397" s="19"/>
      <c r="AI397" s="113"/>
    </row>
    <row r="398" spans="1:35" x14ac:dyDescent="0.25">
      <c r="A398" s="70"/>
      <c r="B398" s="63"/>
      <c r="C398" s="63"/>
      <c r="D398" s="63"/>
      <c r="E398" s="12"/>
      <c r="F398" s="64"/>
      <c r="G398" s="65"/>
      <c r="H398" s="3"/>
      <c r="L398" s="65"/>
      <c r="N398" s="65"/>
      <c r="Q398" s="66"/>
      <c r="R398" s="16"/>
      <c r="S398" s="16"/>
      <c r="T398" s="16"/>
      <c r="U398" s="16"/>
      <c r="V398" s="16"/>
      <c r="X398" s="294" t="s">
        <v>797</v>
      </c>
      <c r="Y398" s="295" t="s">
        <v>62</v>
      </c>
      <c r="Z398" s="315" t="s">
        <v>7</v>
      </c>
      <c r="AA398" s="315" t="s">
        <v>7</v>
      </c>
      <c r="AB398" s="349" t="s">
        <v>798</v>
      </c>
      <c r="AC398" s="297"/>
      <c r="AD398" s="459">
        <f>AD399</f>
        <v>119</v>
      </c>
      <c r="AE398" s="459">
        <f t="shared" si="83"/>
        <v>0</v>
      </c>
      <c r="AF398" s="459">
        <f t="shared" si="83"/>
        <v>0</v>
      </c>
      <c r="AG398" s="19"/>
      <c r="AH398" s="19"/>
      <c r="AI398" s="113"/>
    </row>
    <row r="399" spans="1:35" ht="31.5" x14ac:dyDescent="0.25">
      <c r="A399" s="70"/>
      <c r="B399" s="63"/>
      <c r="C399" s="63"/>
      <c r="D399" s="63"/>
      <c r="E399" s="12"/>
      <c r="F399" s="64"/>
      <c r="G399" s="65"/>
      <c r="H399" s="3"/>
      <c r="L399" s="65"/>
      <c r="N399" s="65"/>
      <c r="Q399" s="66"/>
      <c r="R399" s="16"/>
      <c r="S399" s="16"/>
      <c r="T399" s="16"/>
      <c r="U399" s="16"/>
      <c r="V399" s="16"/>
      <c r="X399" s="294" t="s">
        <v>59</v>
      </c>
      <c r="Y399" s="295" t="s">
        <v>62</v>
      </c>
      <c r="Z399" s="315" t="s">
        <v>7</v>
      </c>
      <c r="AA399" s="315" t="s">
        <v>7</v>
      </c>
      <c r="AB399" s="349" t="s">
        <v>798</v>
      </c>
      <c r="AC399" s="297">
        <v>600</v>
      </c>
      <c r="AD399" s="459">
        <f>AD400</f>
        <v>119</v>
      </c>
      <c r="AE399" s="459">
        <f t="shared" si="83"/>
        <v>0</v>
      </c>
      <c r="AF399" s="459">
        <f t="shared" si="83"/>
        <v>0</v>
      </c>
      <c r="AG399" s="19"/>
      <c r="AH399" s="19"/>
      <c r="AI399" s="113"/>
    </row>
    <row r="400" spans="1:35" x14ac:dyDescent="0.25">
      <c r="A400" s="70"/>
      <c r="B400" s="63"/>
      <c r="C400" s="63"/>
      <c r="D400" s="63"/>
      <c r="E400" s="12"/>
      <c r="F400" s="64"/>
      <c r="G400" s="65"/>
      <c r="H400" s="3"/>
      <c r="L400" s="65"/>
      <c r="N400" s="65"/>
      <c r="Q400" s="66"/>
      <c r="R400" s="16"/>
      <c r="S400" s="16"/>
      <c r="T400" s="16"/>
      <c r="U400" s="16"/>
      <c r="V400" s="16"/>
      <c r="X400" s="294" t="s">
        <v>60</v>
      </c>
      <c r="Y400" s="295" t="s">
        <v>62</v>
      </c>
      <c r="Z400" s="315" t="s">
        <v>7</v>
      </c>
      <c r="AA400" s="315" t="s">
        <v>7</v>
      </c>
      <c r="AB400" s="349" t="s">
        <v>798</v>
      </c>
      <c r="AC400" s="297">
        <v>610</v>
      </c>
      <c r="AD400" s="459">
        <f>150-31</f>
        <v>119</v>
      </c>
      <c r="AE400" s="428">
        <v>0</v>
      </c>
      <c r="AF400" s="438">
        <v>0</v>
      </c>
      <c r="AG400" s="19"/>
      <c r="AH400" s="19"/>
      <c r="AI400" s="113"/>
    </row>
    <row r="401" spans="1:35" x14ac:dyDescent="0.25">
      <c r="A401" s="70"/>
      <c r="B401" s="63"/>
      <c r="C401" s="63"/>
      <c r="D401" s="63"/>
      <c r="E401" s="12"/>
      <c r="F401" s="64"/>
      <c r="G401" s="65"/>
      <c r="H401" s="3"/>
      <c r="L401" s="65"/>
      <c r="N401" s="65"/>
      <c r="Q401" s="66"/>
      <c r="R401" s="16"/>
      <c r="S401" s="16"/>
      <c r="T401" s="16"/>
      <c r="U401" s="16"/>
      <c r="V401" s="16"/>
      <c r="X401" s="294" t="s">
        <v>37</v>
      </c>
      <c r="Y401" s="295" t="s">
        <v>62</v>
      </c>
      <c r="Z401" s="296" t="s">
        <v>7</v>
      </c>
      <c r="AA401" s="296" t="s">
        <v>21</v>
      </c>
      <c r="AB401" s="347"/>
      <c r="AC401" s="297"/>
      <c r="AD401" s="459">
        <f>AD403</f>
        <v>2741.4</v>
      </c>
      <c r="AE401" s="428">
        <f>AE403</f>
        <v>3040</v>
      </c>
      <c r="AF401" s="438">
        <f>AF403</f>
        <v>3060</v>
      </c>
      <c r="AG401" s="19"/>
      <c r="AH401" s="19"/>
      <c r="AI401" s="113"/>
    </row>
    <row r="402" spans="1:35" x14ac:dyDescent="0.25">
      <c r="A402" s="70"/>
      <c r="B402" s="63"/>
      <c r="C402" s="63"/>
      <c r="D402" s="63"/>
      <c r="E402" s="12"/>
      <c r="F402" s="64"/>
      <c r="G402" s="65"/>
      <c r="H402" s="3"/>
      <c r="L402" s="65"/>
      <c r="N402" s="65"/>
      <c r="Q402" s="66"/>
      <c r="R402" s="16"/>
      <c r="S402" s="16"/>
      <c r="T402" s="16"/>
      <c r="U402" s="16"/>
      <c r="V402" s="16"/>
      <c r="X402" s="299" t="s">
        <v>290</v>
      </c>
      <c r="Y402" s="295" t="s">
        <v>62</v>
      </c>
      <c r="Z402" s="296" t="s">
        <v>7</v>
      </c>
      <c r="AA402" s="296" t="s">
        <v>21</v>
      </c>
      <c r="AB402" s="348" t="s">
        <v>107</v>
      </c>
      <c r="AC402" s="297"/>
      <c r="AD402" s="459">
        <f t="shared" ref="AD402:AF403" si="84">AD403</f>
        <v>2741.4</v>
      </c>
      <c r="AE402" s="428">
        <f t="shared" si="84"/>
        <v>3040</v>
      </c>
      <c r="AF402" s="438">
        <f t="shared" si="84"/>
        <v>3060</v>
      </c>
      <c r="AG402" s="19"/>
      <c r="AH402" s="19"/>
      <c r="AI402" s="113"/>
    </row>
    <row r="403" spans="1:35" x14ac:dyDescent="0.25">
      <c r="A403" s="70"/>
      <c r="B403" s="63"/>
      <c r="C403" s="63"/>
      <c r="D403" s="63"/>
      <c r="E403" s="12"/>
      <c r="F403" s="64"/>
      <c r="G403" s="65"/>
      <c r="H403" s="3"/>
      <c r="L403" s="58"/>
      <c r="N403" s="58"/>
      <c r="Q403" s="66"/>
      <c r="R403" s="16"/>
      <c r="S403" s="16"/>
      <c r="T403" s="16"/>
      <c r="U403" s="16"/>
      <c r="V403" s="16"/>
      <c r="X403" s="299" t="s">
        <v>294</v>
      </c>
      <c r="Y403" s="295" t="s">
        <v>62</v>
      </c>
      <c r="Z403" s="296" t="s">
        <v>7</v>
      </c>
      <c r="AA403" s="296" t="s">
        <v>21</v>
      </c>
      <c r="AB403" s="348" t="s">
        <v>108</v>
      </c>
      <c r="AC403" s="297"/>
      <c r="AD403" s="459">
        <f t="shared" si="84"/>
        <v>2741.4</v>
      </c>
      <c r="AE403" s="428">
        <f t="shared" si="84"/>
        <v>3040</v>
      </c>
      <c r="AF403" s="438">
        <f t="shared" si="84"/>
        <v>3060</v>
      </c>
      <c r="AG403" s="19"/>
      <c r="AH403" s="19"/>
      <c r="AI403" s="113"/>
    </row>
    <row r="404" spans="1:35" x14ac:dyDescent="0.25">
      <c r="A404" s="70"/>
      <c r="B404" s="63"/>
      <c r="C404" s="63"/>
      <c r="D404" s="63"/>
      <c r="E404" s="12"/>
      <c r="F404" s="64"/>
      <c r="G404" s="65"/>
      <c r="H404" s="3"/>
      <c r="L404" s="58"/>
      <c r="N404" s="58"/>
      <c r="Q404" s="66"/>
      <c r="R404" s="16"/>
      <c r="S404" s="16"/>
      <c r="T404" s="16"/>
      <c r="U404" s="16"/>
      <c r="V404" s="16"/>
      <c r="X404" s="453" t="s">
        <v>499</v>
      </c>
      <c r="Y404" s="295" t="s">
        <v>62</v>
      </c>
      <c r="Z404" s="296" t="s">
        <v>7</v>
      </c>
      <c r="AA404" s="296" t="s">
        <v>21</v>
      </c>
      <c r="AB404" s="348" t="s">
        <v>498</v>
      </c>
      <c r="AC404" s="297"/>
      <c r="AD404" s="459">
        <f>AD410+AD405</f>
        <v>2741.4</v>
      </c>
      <c r="AE404" s="428">
        <f>AE410</f>
        <v>3040</v>
      </c>
      <c r="AF404" s="428">
        <f>AF410</f>
        <v>3060</v>
      </c>
      <c r="AG404" s="19"/>
      <c r="AH404" s="19"/>
      <c r="AI404" s="113"/>
    </row>
    <row r="405" spans="1:35" ht="48.75" customHeight="1" x14ac:dyDescent="0.25">
      <c r="A405" s="70"/>
      <c r="B405" s="63"/>
      <c r="C405" s="63"/>
      <c r="D405" s="63"/>
      <c r="E405" s="12"/>
      <c r="F405" s="64"/>
      <c r="G405" s="65"/>
      <c r="H405" s="3"/>
      <c r="L405" s="58"/>
      <c r="N405" s="58"/>
      <c r="Q405" s="66"/>
      <c r="R405" s="16"/>
      <c r="S405" s="16"/>
      <c r="T405" s="16"/>
      <c r="U405" s="16"/>
      <c r="V405" s="16"/>
      <c r="X405" s="453" t="s">
        <v>831</v>
      </c>
      <c r="Y405" s="295" t="s">
        <v>62</v>
      </c>
      <c r="Z405" s="296" t="s">
        <v>7</v>
      </c>
      <c r="AA405" s="296" t="s">
        <v>21</v>
      </c>
      <c r="AB405" s="348" t="s">
        <v>832</v>
      </c>
      <c r="AC405" s="297"/>
      <c r="AD405" s="459">
        <f>AD406+AD408</f>
        <v>241.39999999999998</v>
      </c>
      <c r="AE405" s="459">
        <f t="shared" ref="AE405:AF405" si="85">AE406+AE408</f>
        <v>0</v>
      </c>
      <c r="AF405" s="459">
        <f t="shared" si="85"/>
        <v>0</v>
      </c>
      <c r="AG405" s="19"/>
      <c r="AH405" s="19"/>
      <c r="AI405" s="113"/>
    </row>
    <row r="406" spans="1:35" ht="21.75" customHeight="1" x14ac:dyDescent="0.25">
      <c r="A406" s="70"/>
      <c r="B406" s="63"/>
      <c r="C406" s="63"/>
      <c r="D406" s="63"/>
      <c r="E406" s="12"/>
      <c r="F406" s="64"/>
      <c r="G406" s="65"/>
      <c r="H406" s="3"/>
      <c r="L406" s="58"/>
      <c r="N406" s="58"/>
      <c r="Q406" s="66"/>
      <c r="R406" s="16"/>
      <c r="S406" s="16"/>
      <c r="T406" s="16"/>
      <c r="U406" s="16"/>
      <c r="V406" s="16"/>
      <c r="X406" s="294" t="s">
        <v>95</v>
      </c>
      <c r="Y406" s="295" t="s">
        <v>62</v>
      </c>
      <c r="Z406" s="296" t="s">
        <v>7</v>
      </c>
      <c r="AA406" s="296" t="s">
        <v>21</v>
      </c>
      <c r="AB406" s="348" t="s">
        <v>832</v>
      </c>
      <c r="AC406" s="297">
        <v>300</v>
      </c>
      <c r="AD406" s="459">
        <f t="shared" ref="AD406:AF406" si="86">AD407</f>
        <v>227.29999999999998</v>
      </c>
      <c r="AE406" s="459">
        <f t="shared" si="86"/>
        <v>0</v>
      </c>
      <c r="AF406" s="459">
        <f t="shared" si="86"/>
        <v>0</v>
      </c>
      <c r="AG406" s="19"/>
      <c r="AH406" s="19"/>
      <c r="AI406" s="113"/>
    </row>
    <row r="407" spans="1:35" ht="21.75" customHeight="1" x14ac:dyDescent="0.25">
      <c r="A407" s="70"/>
      <c r="B407" s="63"/>
      <c r="C407" s="63"/>
      <c r="D407" s="63"/>
      <c r="E407" s="12"/>
      <c r="F407" s="64"/>
      <c r="G407" s="65"/>
      <c r="H407" s="3"/>
      <c r="L407" s="58"/>
      <c r="N407" s="58"/>
      <c r="Q407" s="66"/>
      <c r="R407" s="16"/>
      <c r="S407" s="16"/>
      <c r="T407" s="16"/>
      <c r="U407" s="16"/>
      <c r="V407" s="16"/>
      <c r="X407" s="294" t="s">
        <v>39</v>
      </c>
      <c r="Y407" s="295" t="s">
        <v>62</v>
      </c>
      <c r="Z407" s="296" t="s">
        <v>7</v>
      </c>
      <c r="AA407" s="296" t="s">
        <v>21</v>
      </c>
      <c r="AB407" s="348" t="s">
        <v>832</v>
      </c>
      <c r="AC407" s="297">
        <v>320</v>
      </c>
      <c r="AD407" s="459">
        <f>260-9.3-9.3-14.1</f>
        <v>227.29999999999998</v>
      </c>
      <c r="AE407" s="459">
        <v>0</v>
      </c>
      <c r="AF407" s="459">
        <v>0</v>
      </c>
      <c r="AG407" s="19"/>
      <c r="AH407" s="19"/>
      <c r="AI407" s="113"/>
    </row>
    <row r="408" spans="1:35" ht="35.25" customHeight="1" x14ac:dyDescent="0.25">
      <c r="A408" s="70"/>
      <c r="B408" s="63"/>
      <c r="C408" s="63"/>
      <c r="D408" s="63"/>
      <c r="E408" s="12"/>
      <c r="F408" s="64"/>
      <c r="G408" s="65"/>
      <c r="H408" s="3"/>
      <c r="L408" s="58"/>
      <c r="N408" s="58"/>
      <c r="Q408" s="66"/>
      <c r="R408" s="16"/>
      <c r="S408" s="16"/>
      <c r="T408" s="16"/>
      <c r="U408" s="16"/>
      <c r="V408" s="16"/>
      <c r="X408" s="294" t="s">
        <v>59</v>
      </c>
      <c r="Y408" s="295" t="s">
        <v>62</v>
      </c>
      <c r="Z408" s="296" t="s">
        <v>7</v>
      </c>
      <c r="AA408" s="296" t="s">
        <v>21</v>
      </c>
      <c r="AB408" s="348" t="s">
        <v>832</v>
      </c>
      <c r="AC408" s="297">
        <v>600</v>
      </c>
      <c r="AD408" s="459">
        <f>AD409</f>
        <v>14.1</v>
      </c>
      <c r="AE408" s="459">
        <f t="shared" ref="AE408:AF408" si="87">AE409</f>
        <v>0</v>
      </c>
      <c r="AF408" s="459">
        <f t="shared" si="87"/>
        <v>0</v>
      </c>
      <c r="AG408" s="19"/>
      <c r="AH408" s="19"/>
      <c r="AI408" s="113"/>
    </row>
    <row r="409" spans="1:35" ht="21.75" customHeight="1" x14ac:dyDescent="0.25">
      <c r="A409" s="70"/>
      <c r="B409" s="63"/>
      <c r="C409" s="63"/>
      <c r="D409" s="63"/>
      <c r="E409" s="12"/>
      <c r="F409" s="64"/>
      <c r="G409" s="65"/>
      <c r="H409" s="3"/>
      <c r="L409" s="58"/>
      <c r="N409" s="58"/>
      <c r="Q409" s="66"/>
      <c r="R409" s="16"/>
      <c r="S409" s="16"/>
      <c r="T409" s="16"/>
      <c r="U409" s="16"/>
      <c r="V409" s="16"/>
      <c r="X409" s="294" t="s">
        <v>60</v>
      </c>
      <c r="Y409" s="295" t="s">
        <v>62</v>
      </c>
      <c r="Z409" s="296" t="s">
        <v>7</v>
      </c>
      <c r="AA409" s="296" t="s">
        <v>21</v>
      </c>
      <c r="AB409" s="348" t="s">
        <v>832</v>
      </c>
      <c r="AC409" s="297">
        <v>610</v>
      </c>
      <c r="AD409" s="459">
        <v>14.1</v>
      </c>
      <c r="AE409" s="459">
        <v>0</v>
      </c>
      <c r="AF409" s="459">
        <v>0</v>
      </c>
      <c r="AG409" s="19"/>
      <c r="AH409" s="19"/>
      <c r="AI409" s="113"/>
    </row>
    <row r="410" spans="1:35" x14ac:dyDescent="0.25">
      <c r="A410" s="70"/>
      <c r="B410" s="63"/>
      <c r="C410" s="63"/>
      <c r="D410" s="63"/>
      <c r="E410" s="12"/>
      <c r="F410" s="64"/>
      <c r="G410" s="65"/>
      <c r="H410" s="3"/>
      <c r="L410" s="58"/>
      <c r="N410" s="58"/>
      <c r="Q410" s="66"/>
      <c r="R410" s="16"/>
      <c r="S410" s="16"/>
      <c r="T410" s="16"/>
      <c r="U410" s="16"/>
      <c r="V410" s="16"/>
      <c r="X410" s="307" t="s">
        <v>295</v>
      </c>
      <c r="Y410" s="295" t="s">
        <v>62</v>
      </c>
      <c r="Z410" s="296" t="s">
        <v>7</v>
      </c>
      <c r="AA410" s="296" t="s">
        <v>21</v>
      </c>
      <c r="AB410" s="348" t="s">
        <v>500</v>
      </c>
      <c r="AC410" s="297"/>
      <c r="AD410" s="459">
        <f>AD411</f>
        <v>2500</v>
      </c>
      <c r="AE410" s="428">
        <f>AE411</f>
        <v>3040</v>
      </c>
      <c r="AF410" s="438">
        <f>AF411</f>
        <v>3060</v>
      </c>
      <c r="AG410" s="19"/>
      <c r="AH410" s="19"/>
      <c r="AI410" s="113"/>
    </row>
    <row r="411" spans="1:35" ht="47.25" x14ac:dyDescent="0.25">
      <c r="A411" s="70"/>
      <c r="B411" s="63"/>
      <c r="C411" s="63"/>
      <c r="D411" s="63"/>
      <c r="E411" s="12"/>
      <c r="F411" s="64"/>
      <c r="G411" s="65"/>
      <c r="H411" s="3"/>
      <c r="L411" s="58"/>
      <c r="N411" s="58"/>
      <c r="Q411" s="66"/>
      <c r="R411" s="16"/>
      <c r="S411" s="16"/>
      <c r="T411" s="16"/>
      <c r="U411" s="16"/>
      <c r="V411" s="16"/>
      <c r="X411" s="307" t="s">
        <v>315</v>
      </c>
      <c r="Y411" s="295" t="s">
        <v>62</v>
      </c>
      <c r="Z411" s="296" t="s">
        <v>7</v>
      </c>
      <c r="AA411" s="296" t="s">
        <v>21</v>
      </c>
      <c r="AB411" s="348" t="s">
        <v>501</v>
      </c>
      <c r="AC411" s="297"/>
      <c r="AD411" s="459">
        <f>AD412+AD414</f>
        <v>2500</v>
      </c>
      <c r="AE411" s="459">
        <f>AE412+AE414</f>
        <v>3040</v>
      </c>
      <c r="AF411" s="459">
        <f>AF412+AF414</f>
        <v>3060</v>
      </c>
      <c r="AG411" s="19"/>
      <c r="AH411" s="19"/>
      <c r="AI411" s="113"/>
    </row>
    <row r="412" spans="1:35" x14ac:dyDescent="0.25">
      <c r="A412" s="70"/>
      <c r="B412" s="63"/>
      <c r="C412" s="63"/>
      <c r="D412" s="63"/>
      <c r="E412" s="12"/>
      <c r="F412" s="64"/>
      <c r="G412" s="65"/>
      <c r="H412" s="3"/>
      <c r="L412" s="58"/>
      <c r="N412" s="58"/>
      <c r="Q412" s="66"/>
      <c r="R412" s="16"/>
      <c r="S412" s="16"/>
      <c r="T412" s="16"/>
      <c r="U412" s="16"/>
      <c r="V412" s="16"/>
      <c r="X412" s="446" t="s">
        <v>118</v>
      </c>
      <c r="Y412" s="295" t="s">
        <v>62</v>
      </c>
      <c r="Z412" s="296" t="s">
        <v>7</v>
      </c>
      <c r="AA412" s="296" t="s">
        <v>21</v>
      </c>
      <c r="AB412" s="348" t="s">
        <v>501</v>
      </c>
      <c r="AC412" s="297">
        <v>200</v>
      </c>
      <c r="AD412" s="459">
        <f>AD413</f>
        <v>2500</v>
      </c>
      <c r="AE412" s="428">
        <f>AE413</f>
        <v>2820</v>
      </c>
      <c r="AF412" s="438">
        <f>AF413</f>
        <v>2840</v>
      </c>
      <c r="AG412" s="19"/>
      <c r="AH412" s="19"/>
      <c r="AI412" s="113"/>
    </row>
    <row r="413" spans="1:35" ht="31.5" x14ac:dyDescent="0.25">
      <c r="A413" s="70"/>
      <c r="B413" s="63"/>
      <c r="C413" s="63"/>
      <c r="D413" s="63"/>
      <c r="E413" s="12"/>
      <c r="F413" s="64"/>
      <c r="G413" s="65"/>
      <c r="H413" s="3"/>
      <c r="L413" s="58"/>
      <c r="N413" s="58"/>
      <c r="Q413" s="66"/>
      <c r="R413" s="16"/>
      <c r="S413" s="16"/>
      <c r="T413" s="16"/>
      <c r="U413" s="16"/>
      <c r="V413" s="16"/>
      <c r="X413" s="446" t="s">
        <v>51</v>
      </c>
      <c r="Y413" s="295" t="s">
        <v>62</v>
      </c>
      <c r="Z413" s="296" t="s">
        <v>7</v>
      </c>
      <c r="AA413" s="296" t="s">
        <v>21</v>
      </c>
      <c r="AB413" s="348" t="s">
        <v>501</v>
      </c>
      <c r="AC413" s="297">
        <v>240</v>
      </c>
      <c r="AD413" s="459">
        <f>2700-4.2+4.2+1084.4-824.4-191.8-268.2</f>
        <v>2500</v>
      </c>
      <c r="AE413" s="428">
        <f>2650+170</f>
        <v>2820</v>
      </c>
      <c r="AF413" s="438">
        <f>2670+170</f>
        <v>2840</v>
      </c>
      <c r="AG413" s="19"/>
      <c r="AH413" s="19"/>
      <c r="AI413" s="113"/>
    </row>
    <row r="414" spans="1:35" x14ac:dyDescent="0.25">
      <c r="A414" s="70"/>
      <c r="B414" s="63"/>
      <c r="C414" s="63"/>
      <c r="D414" s="63"/>
      <c r="E414" s="12"/>
      <c r="F414" s="64"/>
      <c r="G414" s="65"/>
      <c r="H414" s="3"/>
      <c r="L414" s="58"/>
      <c r="N414" s="58"/>
      <c r="Q414" s="66"/>
      <c r="R414" s="16"/>
      <c r="S414" s="16"/>
      <c r="T414" s="16"/>
      <c r="U414" s="16"/>
      <c r="V414" s="16"/>
      <c r="X414" s="294" t="s">
        <v>95</v>
      </c>
      <c r="Y414" s="295" t="s">
        <v>62</v>
      </c>
      <c r="Z414" s="296" t="s">
        <v>7</v>
      </c>
      <c r="AA414" s="296" t="s">
        <v>21</v>
      </c>
      <c r="AB414" s="348" t="s">
        <v>501</v>
      </c>
      <c r="AC414" s="297">
        <v>300</v>
      </c>
      <c r="AD414" s="459">
        <f>AD415</f>
        <v>0</v>
      </c>
      <c r="AE414" s="428">
        <f>AE415</f>
        <v>220</v>
      </c>
      <c r="AF414" s="438">
        <f>AF415</f>
        <v>220</v>
      </c>
      <c r="AG414" s="19"/>
      <c r="AH414" s="19"/>
      <c r="AI414" s="113"/>
    </row>
    <row r="415" spans="1:35" x14ac:dyDescent="0.25">
      <c r="A415" s="70"/>
      <c r="B415" s="63"/>
      <c r="C415" s="63"/>
      <c r="D415" s="63"/>
      <c r="E415" s="12"/>
      <c r="F415" s="64"/>
      <c r="G415" s="65"/>
      <c r="H415" s="3"/>
      <c r="L415" s="58"/>
      <c r="N415" s="58"/>
      <c r="Q415" s="66"/>
      <c r="R415" s="16"/>
      <c r="S415" s="16"/>
      <c r="T415" s="16"/>
      <c r="U415" s="16"/>
      <c r="V415" s="16"/>
      <c r="X415" s="294" t="s">
        <v>39</v>
      </c>
      <c r="Y415" s="295" t="s">
        <v>62</v>
      </c>
      <c r="Z415" s="296" t="s">
        <v>7</v>
      </c>
      <c r="AA415" s="296" t="s">
        <v>21</v>
      </c>
      <c r="AB415" s="348" t="s">
        <v>501</v>
      </c>
      <c r="AC415" s="297">
        <v>320</v>
      </c>
      <c r="AD415" s="459">
        <f>260-260</f>
        <v>0</v>
      </c>
      <c r="AE415" s="428">
        <v>220</v>
      </c>
      <c r="AF415" s="438">
        <v>220</v>
      </c>
      <c r="AG415" s="19"/>
      <c r="AH415" s="19"/>
      <c r="AI415" s="113"/>
    </row>
    <row r="416" spans="1:35" s="62" customFormat="1" ht="18.75" x14ac:dyDescent="0.3">
      <c r="A416" s="53"/>
      <c r="B416" s="54"/>
      <c r="C416" s="56"/>
      <c r="D416" s="57"/>
      <c r="E416" s="57"/>
      <c r="F416" s="57"/>
      <c r="G416" s="58"/>
      <c r="H416" s="58"/>
      <c r="I416" s="58"/>
      <c r="J416" s="58"/>
      <c r="K416" s="58"/>
      <c r="L416" s="96"/>
      <c r="M416" s="58"/>
      <c r="N416" s="58"/>
      <c r="O416" s="59"/>
      <c r="P416" s="58"/>
      <c r="Q416" s="60"/>
      <c r="R416" s="61"/>
      <c r="S416" s="61"/>
      <c r="T416" s="61"/>
      <c r="U416" s="61"/>
      <c r="V416" s="61"/>
      <c r="W416" s="61"/>
      <c r="X416" s="445" t="s">
        <v>20</v>
      </c>
      <c r="Y416" s="291" t="s">
        <v>62</v>
      </c>
      <c r="Z416" s="312" t="s">
        <v>15</v>
      </c>
      <c r="AA416" s="346"/>
      <c r="AB416" s="345"/>
      <c r="AC416" s="317"/>
      <c r="AD416" s="458">
        <f>AD417</f>
        <v>222840.3</v>
      </c>
      <c r="AE416" s="427">
        <f>AE417</f>
        <v>168096</v>
      </c>
      <c r="AF416" s="437">
        <f>AF417</f>
        <v>153265.90000000002</v>
      </c>
      <c r="AG416" s="142"/>
      <c r="AH416" s="142"/>
      <c r="AI416" s="113"/>
    </row>
    <row r="417" spans="1:35" s="77" customFormat="1" x14ac:dyDescent="0.25">
      <c r="A417" s="14"/>
      <c r="B417" s="63"/>
      <c r="C417" s="64"/>
      <c r="D417" s="64"/>
      <c r="E417" s="12"/>
      <c r="F417" s="12"/>
      <c r="G417" s="65"/>
      <c r="H417" s="65"/>
      <c r="I417" s="65"/>
      <c r="J417" s="65"/>
      <c r="K417" s="65"/>
      <c r="L417" s="58"/>
      <c r="M417" s="65"/>
      <c r="N417" s="58"/>
      <c r="O417" s="71"/>
      <c r="P417" s="65"/>
      <c r="Q417" s="66"/>
      <c r="R417" s="16"/>
      <c r="S417" s="16"/>
      <c r="T417" s="16"/>
      <c r="U417" s="16"/>
      <c r="V417" s="16"/>
      <c r="W417" s="16"/>
      <c r="X417" s="294" t="s">
        <v>63</v>
      </c>
      <c r="Y417" s="295" t="s">
        <v>62</v>
      </c>
      <c r="Z417" s="296" t="s">
        <v>15</v>
      </c>
      <c r="AA417" s="296" t="s">
        <v>28</v>
      </c>
      <c r="AB417" s="347"/>
      <c r="AC417" s="323"/>
      <c r="AD417" s="459">
        <f>AD418+AD477</f>
        <v>222840.3</v>
      </c>
      <c r="AE417" s="428">
        <f>AE418+AE477</f>
        <v>168096</v>
      </c>
      <c r="AF417" s="438">
        <f>AF418+AF477</f>
        <v>153265.90000000002</v>
      </c>
      <c r="AG417" s="19"/>
      <c r="AH417" s="19"/>
      <c r="AI417" s="113"/>
    </row>
    <row r="418" spans="1:35" s="77" customFormat="1" x14ac:dyDescent="0.25">
      <c r="A418" s="14"/>
      <c r="B418" s="63"/>
      <c r="C418" s="64"/>
      <c r="D418" s="64"/>
      <c r="E418" s="12"/>
      <c r="F418" s="12"/>
      <c r="G418" s="65"/>
      <c r="H418" s="65"/>
      <c r="I418" s="65"/>
      <c r="J418" s="65"/>
      <c r="K418" s="65"/>
      <c r="L418" s="65"/>
      <c r="M418" s="65"/>
      <c r="N418" s="65"/>
      <c r="O418" s="71"/>
      <c r="P418" s="65"/>
      <c r="Q418" s="66"/>
      <c r="R418" s="16"/>
      <c r="S418" s="16"/>
      <c r="T418" s="16"/>
      <c r="U418" s="16"/>
      <c r="V418" s="16"/>
      <c r="W418" s="16"/>
      <c r="X418" s="301" t="s">
        <v>562</v>
      </c>
      <c r="Y418" s="295" t="s">
        <v>62</v>
      </c>
      <c r="Z418" s="296" t="s">
        <v>15</v>
      </c>
      <c r="AA418" s="296" t="s">
        <v>28</v>
      </c>
      <c r="AB418" s="348" t="s">
        <v>112</v>
      </c>
      <c r="AC418" s="323"/>
      <c r="AD418" s="459">
        <f>AD424+AD433+AD448+AD419</f>
        <v>204203</v>
      </c>
      <c r="AE418" s="459">
        <f>AE424+AE433+AE448+AE419</f>
        <v>146624</v>
      </c>
      <c r="AF418" s="459">
        <f>AF424+AF433+AF448+AF419</f>
        <v>130913.90000000001</v>
      </c>
      <c r="AG418" s="19"/>
      <c r="AH418" s="19"/>
      <c r="AI418" s="113"/>
    </row>
    <row r="419" spans="1:35" s="77" customFormat="1" ht="30.75" customHeight="1" x14ac:dyDescent="0.25">
      <c r="A419" s="14"/>
      <c r="B419" s="63"/>
      <c r="C419" s="64"/>
      <c r="D419" s="64"/>
      <c r="E419" s="12"/>
      <c r="F419" s="12"/>
      <c r="G419" s="65"/>
      <c r="H419" s="65"/>
      <c r="I419" s="65"/>
      <c r="J419" s="65"/>
      <c r="K419" s="65"/>
      <c r="L419" s="65"/>
      <c r="M419" s="65"/>
      <c r="N419" s="65"/>
      <c r="O419" s="71"/>
      <c r="P419" s="65"/>
      <c r="Q419" s="66"/>
      <c r="R419" s="16"/>
      <c r="S419" s="16"/>
      <c r="T419" s="16"/>
      <c r="U419" s="16"/>
      <c r="V419" s="16"/>
      <c r="W419" s="16"/>
      <c r="X419" s="294" t="s">
        <v>858</v>
      </c>
      <c r="Y419" s="295" t="s">
        <v>62</v>
      </c>
      <c r="Z419" s="296" t="s">
        <v>15</v>
      </c>
      <c r="AA419" s="296" t="s">
        <v>28</v>
      </c>
      <c r="AB419" s="348" t="s">
        <v>859</v>
      </c>
      <c r="AC419" s="323"/>
      <c r="AD419" s="459">
        <f>AD420</f>
        <v>570</v>
      </c>
      <c r="AE419" s="459">
        <f t="shared" ref="AE419:AF421" si="88">AE420</f>
        <v>0</v>
      </c>
      <c r="AF419" s="459">
        <f t="shared" si="88"/>
        <v>0</v>
      </c>
      <c r="AG419" s="19"/>
      <c r="AH419" s="19"/>
      <c r="AI419" s="113"/>
    </row>
    <row r="420" spans="1:35" s="77" customFormat="1" ht="39.75" customHeight="1" x14ac:dyDescent="0.25">
      <c r="A420" s="14"/>
      <c r="B420" s="63"/>
      <c r="C420" s="64"/>
      <c r="D420" s="64"/>
      <c r="E420" s="12"/>
      <c r="F420" s="12"/>
      <c r="G420" s="65"/>
      <c r="H420" s="65"/>
      <c r="I420" s="65"/>
      <c r="J420" s="65"/>
      <c r="K420" s="65"/>
      <c r="L420" s="65"/>
      <c r="M420" s="65"/>
      <c r="N420" s="65"/>
      <c r="O420" s="71"/>
      <c r="P420" s="65"/>
      <c r="Q420" s="66"/>
      <c r="R420" s="16"/>
      <c r="S420" s="16"/>
      <c r="T420" s="16"/>
      <c r="U420" s="16"/>
      <c r="V420" s="16"/>
      <c r="W420" s="16"/>
      <c r="X420" s="301" t="s">
        <v>856</v>
      </c>
      <c r="Y420" s="295" t="s">
        <v>62</v>
      </c>
      <c r="Z420" s="296" t="s">
        <v>15</v>
      </c>
      <c r="AA420" s="296" t="s">
        <v>28</v>
      </c>
      <c r="AB420" s="348" t="s">
        <v>860</v>
      </c>
      <c r="AC420" s="323"/>
      <c r="AD420" s="459">
        <f>AD421</f>
        <v>570</v>
      </c>
      <c r="AE420" s="459">
        <f t="shared" si="88"/>
        <v>0</v>
      </c>
      <c r="AF420" s="459">
        <f t="shared" si="88"/>
        <v>0</v>
      </c>
      <c r="AG420" s="19"/>
      <c r="AH420" s="19"/>
      <c r="AI420" s="113"/>
    </row>
    <row r="421" spans="1:35" s="77" customFormat="1" ht="37.5" customHeight="1" x14ac:dyDescent="0.25">
      <c r="A421" s="14"/>
      <c r="B421" s="63"/>
      <c r="C421" s="64"/>
      <c r="D421" s="64"/>
      <c r="E421" s="12"/>
      <c r="F421" s="12"/>
      <c r="G421" s="65"/>
      <c r="H421" s="65"/>
      <c r="I421" s="65"/>
      <c r="J421" s="65"/>
      <c r="K421" s="65"/>
      <c r="L421" s="65"/>
      <c r="M421" s="65"/>
      <c r="N421" s="65"/>
      <c r="O421" s="71"/>
      <c r="P421" s="65"/>
      <c r="Q421" s="66"/>
      <c r="R421" s="16"/>
      <c r="S421" s="16"/>
      <c r="T421" s="16"/>
      <c r="U421" s="16"/>
      <c r="V421" s="16"/>
      <c r="W421" s="16"/>
      <c r="X421" s="301" t="s">
        <v>857</v>
      </c>
      <c r="Y421" s="295" t="s">
        <v>62</v>
      </c>
      <c r="Z421" s="296" t="s">
        <v>15</v>
      </c>
      <c r="AA421" s="296" t="s">
        <v>28</v>
      </c>
      <c r="AB421" s="348" t="s">
        <v>861</v>
      </c>
      <c r="AC421" s="323"/>
      <c r="AD421" s="459">
        <f>AD422</f>
        <v>570</v>
      </c>
      <c r="AE421" s="459">
        <f t="shared" si="88"/>
        <v>0</v>
      </c>
      <c r="AF421" s="459">
        <f t="shared" si="88"/>
        <v>0</v>
      </c>
      <c r="AG421" s="19"/>
      <c r="AH421" s="19"/>
      <c r="AI421" s="113"/>
    </row>
    <row r="422" spans="1:35" s="77" customFormat="1" ht="31.5" x14ac:dyDescent="0.25">
      <c r="A422" s="14"/>
      <c r="B422" s="63"/>
      <c r="C422" s="64"/>
      <c r="D422" s="64"/>
      <c r="E422" s="12"/>
      <c r="F422" s="12"/>
      <c r="G422" s="65"/>
      <c r="H422" s="65"/>
      <c r="I422" s="65"/>
      <c r="J422" s="65"/>
      <c r="K422" s="65"/>
      <c r="L422" s="65"/>
      <c r="M422" s="65"/>
      <c r="N422" s="65"/>
      <c r="O422" s="71"/>
      <c r="P422" s="65"/>
      <c r="Q422" s="66"/>
      <c r="R422" s="16"/>
      <c r="S422" s="16"/>
      <c r="T422" s="16"/>
      <c r="U422" s="16"/>
      <c r="V422" s="16"/>
      <c r="W422" s="16"/>
      <c r="X422" s="294" t="s">
        <v>59</v>
      </c>
      <c r="Y422" s="295" t="s">
        <v>62</v>
      </c>
      <c r="Z422" s="296" t="s">
        <v>15</v>
      </c>
      <c r="AA422" s="296" t="s">
        <v>28</v>
      </c>
      <c r="AB422" s="348" t="s">
        <v>861</v>
      </c>
      <c r="AC422" s="323">
        <v>600</v>
      </c>
      <c r="AD422" s="459">
        <f>AD423</f>
        <v>570</v>
      </c>
      <c r="AE422" s="459">
        <f>AE423</f>
        <v>0</v>
      </c>
      <c r="AF422" s="459">
        <f>AF423</f>
        <v>0</v>
      </c>
      <c r="AG422" s="19"/>
      <c r="AH422" s="19"/>
      <c r="AI422" s="113"/>
    </row>
    <row r="423" spans="1:35" s="77" customFormat="1" x14ac:dyDescent="0.25">
      <c r="A423" s="14"/>
      <c r="B423" s="63"/>
      <c r="C423" s="64"/>
      <c r="D423" s="64"/>
      <c r="E423" s="12"/>
      <c r="F423" s="12"/>
      <c r="G423" s="65"/>
      <c r="H423" s="65"/>
      <c r="I423" s="65"/>
      <c r="J423" s="65"/>
      <c r="K423" s="65"/>
      <c r="L423" s="65"/>
      <c r="M423" s="65"/>
      <c r="N423" s="65"/>
      <c r="O423" s="71"/>
      <c r="P423" s="65"/>
      <c r="Q423" s="66"/>
      <c r="R423" s="16"/>
      <c r="S423" s="16"/>
      <c r="T423" s="16"/>
      <c r="U423" s="16"/>
      <c r="V423" s="16"/>
      <c r="W423" s="16"/>
      <c r="X423" s="294" t="s">
        <v>60</v>
      </c>
      <c r="Y423" s="295" t="s">
        <v>62</v>
      </c>
      <c r="Z423" s="296" t="s">
        <v>15</v>
      </c>
      <c r="AA423" s="296" t="s">
        <v>28</v>
      </c>
      <c r="AB423" s="348" t="s">
        <v>861</v>
      </c>
      <c r="AC423" s="323">
        <v>610</v>
      </c>
      <c r="AD423" s="459">
        <v>570</v>
      </c>
      <c r="AE423" s="459">
        <v>0</v>
      </c>
      <c r="AF423" s="489">
        <v>0</v>
      </c>
      <c r="AG423" s="19"/>
      <c r="AH423" s="19"/>
      <c r="AI423" s="113"/>
    </row>
    <row r="424" spans="1:35" s="77" customFormat="1" x14ac:dyDescent="0.25">
      <c r="A424" s="14"/>
      <c r="B424" s="63"/>
      <c r="C424" s="64"/>
      <c r="D424" s="64"/>
      <c r="E424" s="12"/>
      <c r="F424" s="12"/>
      <c r="G424" s="65"/>
      <c r="H424" s="65"/>
      <c r="I424" s="65"/>
      <c r="J424" s="65"/>
      <c r="K424" s="65"/>
      <c r="L424" s="58"/>
      <c r="M424" s="65"/>
      <c r="N424" s="58"/>
      <c r="O424" s="71"/>
      <c r="P424" s="65"/>
      <c r="Q424" s="66"/>
      <c r="R424" s="16"/>
      <c r="S424" s="16"/>
      <c r="T424" s="16"/>
      <c r="U424" s="16"/>
      <c r="V424" s="16"/>
      <c r="W424" s="16"/>
      <c r="X424" s="301" t="s">
        <v>494</v>
      </c>
      <c r="Y424" s="295" t="s">
        <v>62</v>
      </c>
      <c r="Z424" s="296" t="s">
        <v>15</v>
      </c>
      <c r="AA424" s="296" t="s">
        <v>28</v>
      </c>
      <c r="AB424" s="348" t="s">
        <v>311</v>
      </c>
      <c r="AC424" s="323"/>
      <c r="AD424" s="459">
        <f>AD425+AD430</f>
        <v>30948.6</v>
      </c>
      <c r="AE424" s="459">
        <f>AE425+AE430</f>
        <v>29355.8</v>
      </c>
      <c r="AF424" s="459">
        <f>AF425+AF430</f>
        <v>29511.7</v>
      </c>
      <c r="AG424" s="19"/>
      <c r="AH424" s="19"/>
      <c r="AI424" s="113"/>
    </row>
    <row r="425" spans="1:35" s="77" customFormat="1" x14ac:dyDescent="0.25">
      <c r="A425" s="14"/>
      <c r="B425" s="63"/>
      <c r="C425" s="64"/>
      <c r="D425" s="64"/>
      <c r="E425" s="12"/>
      <c r="F425" s="12"/>
      <c r="G425" s="65"/>
      <c r="H425" s="65"/>
      <c r="I425" s="65"/>
      <c r="J425" s="65"/>
      <c r="K425" s="65"/>
      <c r="L425" s="58"/>
      <c r="M425" s="65"/>
      <c r="N425" s="58"/>
      <c r="O425" s="71"/>
      <c r="P425" s="65"/>
      <c r="Q425" s="66"/>
      <c r="R425" s="16"/>
      <c r="S425" s="16"/>
      <c r="T425" s="16"/>
      <c r="U425" s="16"/>
      <c r="V425" s="16"/>
      <c r="W425" s="16"/>
      <c r="X425" s="301" t="s">
        <v>312</v>
      </c>
      <c r="Y425" s="295" t="s">
        <v>62</v>
      </c>
      <c r="Z425" s="296" t="s">
        <v>15</v>
      </c>
      <c r="AA425" s="296" t="s">
        <v>28</v>
      </c>
      <c r="AB425" s="348" t="s">
        <v>313</v>
      </c>
      <c r="AC425" s="323"/>
      <c r="AD425" s="459">
        <f>AD426</f>
        <v>30548.6</v>
      </c>
      <c r="AE425" s="428">
        <f>AE426</f>
        <v>29355.8</v>
      </c>
      <c r="AF425" s="438">
        <f>AF426</f>
        <v>29511.7</v>
      </c>
      <c r="AG425" s="19"/>
      <c r="AH425" s="19"/>
      <c r="AI425" s="113"/>
    </row>
    <row r="426" spans="1:35" s="77" customFormat="1" ht="31.5" x14ac:dyDescent="0.25">
      <c r="A426" s="14"/>
      <c r="B426" s="63"/>
      <c r="C426" s="64"/>
      <c r="D426" s="64"/>
      <c r="E426" s="12"/>
      <c r="F426" s="12"/>
      <c r="G426" s="65"/>
      <c r="H426" s="65"/>
      <c r="I426" s="65"/>
      <c r="J426" s="65"/>
      <c r="K426" s="65"/>
      <c r="L426" s="58"/>
      <c r="M426" s="65"/>
      <c r="N426" s="58"/>
      <c r="O426" s="71"/>
      <c r="P426" s="65"/>
      <c r="Q426" s="66"/>
      <c r="R426" s="16"/>
      <c r="S426" s="16"/>
      <c r="T426" s="16"/>
      <c r="U426" s="16"/>
      <c r="V426" s="16"/>
      <c r="W426" s="16"/>
      <c r="X426" s="446" t="s">
        <v>250</v>
      </c>
      <c r="Y426" s="295" t="s">
        <v>62</v>
      </c>
      <c r="Z426" s="296" t="s">
        <v>15</v>
      </c>
      <c r="AA426" s="296" t="s">
        <v>28</v>
      </c>
      <c r="AB426" s="348" t="s">
        <v>251</v>
      </c>
      <c r="AC426" s="323"/>
      <c r="AD426" s="459">
        <f t="shared" ref="AD426:AF427" si="89">AD427</f>
        <v>30548.6</v>
      </c>
      <c r="AE426" s="428">
        <f t="shared" si="89"/>
        <v>29355.8</v>
      </c>
      <c r="AF426" s="438">
        <f t="shared" si="89"/>
        <v>29511.7</v>
      </c>
      <c r="AG426" s="19"/>
      <c r="AH426" s="19"/>
      <c r="AI426" s="113"/>
    </row>
    <row r="427" spans="1:35" s="77" customFormat="1" ht="31.5" x14ac:dyDescent="0.25">
      <c r="A427" s="14"/>
      <c r="B427" s="63"/>
      <c r="C427" s="64"/>
      <c r="D427" s="64"/>
      <c r="E427" s="12"/>
      <c r="F427" s="12"/>
      <c r="G427" s="65"/>
      <c r="H427" s="65"/>
      <c r="I427" s="65"/>
      <c r="J427" s="65"/>
      <c r="K427" s="65"/>
      <c r="L427" s="58"/>
      <c r="M427" s="65"/>
      <c r="N427" s="58"/>
      <c r="O427" s="71"/>
      <c r="P427" s="65"/>
      <c r="Q427" s="66"/>
      <c r="R427" s="16"/>
      <c r="S427" s="16"/>
      <c r="T427" s="16"/>
      <c r="U427" s="16"/>
      <c r="V427" s="16"/>
      <c r="W427" s="16"/>
      <c r="X427" s="294" t="s">
        <v>59</v>
      </c>
      <c r="Y427" s="295" t="s">
        <v>62</v>
      </c>
      <c r="Z427" s="296" t="s">
        <v>15</v>
      </c>
      <c r="AA427" s="296" t="s">
        <v>28</v>
      </c>
      <c r="AB427" s="348" t="s">
        <v>251</v>
      </c>
      <c r="AC427" s="297">
        <v>600</v>
      </c>
      <c r="AD427" s="459">
        <f t="shared" si="89"/>
        <v>30548.6</v>
      </c>
      <c r="AE427" s="428">
        <f t="shared" si="89"/>
        <v>29355.8</v>
      </c>
      <c r="AF427" s="438">
        <f t="shared" si="89"/>
        <v>29511.7</v>
      </c>
      <c r="AG427" s="19"/>
      <c r="AH427" s="19"/>
      <c r="AI427" s="113"/>
    </row>
    <row r="428" spans="1:35" s="77" customFormat="1" x14ac:dyDescent="0.25">
      <c r="A428" s="14"/>
      <c r="B428" s="63"/>
      <c r="C428" s="64"/>
      <c r="D428" s="64"/>
      <c r="E428" s="12"/>
      <c r="F428" s="12"/>
      <c r="G428" s="65"/>
      <c r="H428" s="65"/>
      <c r="I428" s="65"/>
      <c r="J428" s="65"/>
      <c r="K428" s="65"/>
      <c r="L428" s="58"/>
      <c r="M428" s="65"/>
      <c r="N428" s="58"/>
      <c r="O428" s="71"/>
      <c r="P428" s="65"/>
      <c r="Q428" s="66"/>
      <c r="R428" s="16"/>
      <c r="S428" s="16"/>
      <c r="T428" s="16"/>
      <c r="U428" s="16"/>
      <c r="V428" s="16"/>
      <c r="W428" s="16"/>
      <c r="X428" s="294" t="s">
        <v>60</v>
      </c>
      <c r="Y428" s="295" t="s">
        <v>62</v>
      </c>
      <c r="Z428" s="296" t="s">
        <v>15</v>
      </c>
      <c r="AA428" s="296" t="s">
        <v>28</v>
      </c>
      <c r="AB428" s="348" t="s">
        <v>251</v>
      </c>
      <c r="AC428" s="297">
        <v>610</v>
      </c>
      <c r="AD428" s="461">
        <f>30548.6</f>
        <v>30548.6</v>
      </c>
      <c r="AE428" s="430">
        <v>29355.8</v>
      </c>
      <c r="AF428" s="439">
        <v>29511.7</v>
      </c>
      <c r="AG428" s="143"/>
      <c r="AH428" s="143"/>
      <c r="AI428" s="113"/>
    </row>
    <row r="429" spans="1:35" s="77" customFormat="1" ht="35.25" customHeight="1" x14ac:dyDescent="0.25">
      <c r="A429" s="14"/>
      <c r="B429" s="63"/>
      <c r="C429" s="64"/>
      <c r="D429" s="64"/>
      <c r="E429" s="12"/>
      <c r="F429" s="12"/>
      <c r="G429" s="65"/>
      <c r="H429" s="65"/>
      <c r="I429" s="65"/>
      <c r="J429" s="65"/>
      <c r="K429" s="65"/>
      <c r="L429" s="58"/>
      <c r="M429" s="65"/>
      <c r="N429" s="58"/>
      <c r="O429" s="71"/>
      <c r="P429" s="65"/>
      <c r="Q429" s="66"/>
      <c r="R429" s="16"/>
      <c r="S429" s="16"/>
      <c r="T429" s="16"/>
      <c r="U429" s="16"/>
      <c r="V429" s="16"/>
      <c r="W429" s="16"/>
      <c r="X429" s="294" t="s">
        <v>785</v>
      </c>
      <c r="Y429" s="295" t="s">
        <v>62</v>
      </c>
      <c r="Z429" s="296" t="s">
        <v>15</v>
      </c>
      <c r="AA429" s="296" t="s">
        <v>28</v>
      </c>
      <c r="AB429" s="348" t="s">
        <v>788</v>
      </c>
      <c r="AC429" s="318"/>
      <c r="AD429" s="461">
        <f>AD430</f>
        <v>400</v>
      </c>
      <c r="AE429" s="461">
        <f t="shared" ref="AE429:AF431" si="90">AE430</f>
        <v>0</v>
      </c>
      <c r="AF429" s="461">
        <f t="shared" si="90"/>
        <v>0</v>
      </c>
      <c r="AG429" s="143"/>
      <c r="AH429" s="143"/>
      <c r="AI429" s="113"/>
    </row>
    <row r="430" spans="1:35" s="77" customFormat="1" x14ac:dyDescent="0.25">
      <c r="A430" s="14"/>
      <c r="B430" s="63"/>
      <c r="C430" s="64"/>
      <c r="D430" s="64"/>
      <c r="E430" s="12"/>
      <c r="F430" s="12"/>
      <c r="G430" s="65"/>
      <c r="H430" s="65"/>
      <c r="I430" s="65"/>
      <c r="J430" s="65"/>
      <c r="K430" s="65"/>
      <c r="L430" s="58"/>
      <c r="M430" s="65"/>
      <c r="N430" s="58"/>
      <c r="O430" s="71"/>
      <c r="P430" s="65"/>
      <c r="Q430" s="66"/>
      <c r="R430" s="16"/>
      <c r="S430" s="16"/>
      <c r="T430" s="16"/>
      <c r="U430" s="16"/>
      <c r="V430" s="16"/>
      <c r="W430" s="16"/>
      <c r="X430" s="294" t="s">
        <v>786</v>
      </c>
      <c r="Y430" s="295" t="s">
        <v>62</v>
      </c>
      <c r="Z430" s="296" t="s">
        <v>15</v>
      </c>
      <c r="AA430" s="296" t="s">
        <v>28</v>
      </c>
      <c r="AB430" s="348" t="s">
        <v>787</v>
      </c>
      <c r="AC430" s="488"/>
      <c r="AD430" s="461">
        <f>AD431</f>
        <v>400</v>
      </c>
      <c r="AE430" s="461">
        <f t="shared" si="90"/>
        <v>0</v>
      </c>
      <c r="AF430" s="461">
        <f t="shared" si="90"/>
        <v>0</v>
      </c>
      <c r="AG430" s="143"/>
      <c r="AH430" s="143"/>
      <c r="AI430" s="113"/>
    </row>
    <row r="431" spans="1:35" s="77" customFormat="1" ht="31.5" x14ac:dyDescent="0.25">
      <c r="A431" s="14"/>
      <c r="B431" s="63"/>
      <c r="C431" s="64"/>
      <c r="D431" s="64"/>
      <c r="E431" s="12"/>
      <c r="F431" s="12"/>
      <c r="G431" s="65"/>
      <c r="H431" s="65"/>
      <c r="I431" s="65"/>
      <c r="J431" s="65"/>
      <c r="K431" s="65"/>
      <c r="L431" s="58"/>
      <c r="M431" s="65"/>
      <c r="N431" s="58"/>
      <c r="O431" s="71"/>
      <c r="P431" s="65"/>
      <c r="Q431" s="66"/>
      <c r="R431" s="16"/>
      <c r="S431" s="16"/>
      <c r="T431" s="16"/>
      <c r="U431" s="16"/>
      <c r="V431" s="16"/>
      <c r="W431" s="16"/>
      <c r="X431" s="294" t="s">
        <v>59</v>
      </c>
      <c r="Y431" s="295" t="s">
        <v>62</v>
      </c>
      <c r="Z431" s="296" t="s">
        <v>15</v>
      </c>
      <c r="AA431" s="296" t="s">
        <v>28</v>
      </c>
      <c r="AB431" s="348" t="s">
        <v>787</v>
      </c>
      <c r="AC431" s="296">
        <v>600</v>
      </c>
      <c r="AD431" s="461">
        <f>AD432</f>
        <v>400</v>
      </c>
      <c r="AE431" s="461">
        <f t="shared" si="90"/>
        <v>0</v>
      </c>
      <c r="AF431" s="461">
        <f t="shared" si="90"/>
        <v>0</v>
      </c>
      <c r="AG431" s="143"/>
      <c r="AH431" s="143"/>
      <c r="AI431" s="113"/>
    </row>
    <row r="432" spans="1:35" s="77" customFormat="1" x14ac:dyDescent="0.25">
      <c r="A432" s="14"/>
      <c r="B432" s="63"/>
      <c r="C432" s="64"/>
      <c r="D432" s="64"/>
      <c r="E432" s="12"/>
      <c r="F432" s="12"/>
      <c r="G432" s="65"/>
      <c r="H432" s="65"/>
      <c r="I432" s="65"/>
      <c r="J432" s="65"/>
      <c r="K432" s="65"/>
      <c r="L432" s="58"/>
      <c r="M432" s="65"/>
      <c r="N432" s="58"/>
      <c r="O432" s="71"/>
      <c r="P432" s="65"/>
      <c r="Q432" s="66"/>
      <c r="R432" s="16"/>
      <c r="S432" s="16"/>
      <c r="T432" s="16"/>
      <c r="U432" s="16"/>
      <c r="V432" s="16"/>
      <c r="W432" s="16"/>
      <c r="X432" s="294" t="s">
        <v>60</v>
      </c>
      <c r="Y432" s="295" t="s">
        <v>62</v>
      </c>
      <c r="Z432" s="296" t="s">
        <v>15</v>
      </c>
      <c r="AA432" s="296" t="s">
        <v>28</v>
      </c>
      <c r="AB432" s="348" t="s">
        <v>787</v>
      </c>
      <c r="AC432" s="296">
        <v>610</v>
      </c>
      <c r="AD432" s="461">
        <f>3270-570-2300</f>
        <v>400</v>
      </c>
      <c r="AE432" s="430">
        <v>0</v>
      </c>
      <c r="AF432" s="439">
        <v>0</v>
      </c>
      <c r="AG432" s="143"/>
      <c r="AH432" s="143"/>
      <c r="AI432" s="113"/>
    </row>
    <row r="433" spans="1:35" s="77" customFormat="1" x14ac:dyDescent="0.25">
      <c r="A433" s="14"/>
      <c r="B433" s="63"/>
      <c r="C433" s="64"/>
      <c r="D433" s="64"/>
      <c r="E433" s="12"/>
      <c r="F433" s="12"/>
      <c r="G433" s="65"/>
      <c r="H433" s="65"/>
      <c r="I433" s="65"/>
      <c r="J433" s="65"/>
      <c r="K433" s="65"/>
      <c r="L433" s="58"/>
      <c r="M433" s="65"/>
      <c r="N433" s="58"/>
      <c r="O433" s="71"/>
      <c r="P433" s="65"/>
      <c r="Q433" s="66"/>
      <c r="R433" s="16"/>
      <c r="S433" s="16"/>
      <c r="T433" s="16"/>
      <c r="U433" s="16"/>
      <c r="V433" s="16"/>
      <c r="W433" s="16"/>
      <c r="X433" s="301" t="s">
        <v>486</v>
      </c>
      <c r="Y433" s="295" t="s">
        <v>62</v>
      </c>
      <c r="Z433" s="296" t="s">
        <v>15</v>
      </c>
      <c r="AA433" s="296" t="s">
        <v>28</v>
      </c>
      <c r="AB433" s="348" t="s">
        <v>138</v>
      </c>
      <c r="AC433" s="374"/>
      <c r="AD433" s="461">
        <f>AD434+AD444</f>
        <v>39268.299999999996</v>
      </c>
      <c r="AE433" s="461">
        <f>AE434+AE444</f>
        <v>37183.199999999997</v>
      </c>
      <c r="AF433" s="461">
        <f>AF434+AF444</f>
        <v>37369.700000000004</v>
      </c>
      <c r="AG433" s="143"/>
      <c r="AH433" s="143"/>
      <c r="AI433" s="113"/>
    </row>
    <row r="434" spans="1:35" s="77" customFormat="1" ht="31.5" x14ac:dyDescent="0.25">
      <c r="A434" s="14"/>
      <c r="B434" s="63"/>
      <c r="C434" s="64"/>
      <c r="D434" s="64"/>
      <c r="E434" s="12"/>
      <c r="F434" s="12"/>
      <c r="G434" s="65"/>
      <c r="H434" s="65"/>
      <c r="I434" s="65"/>
      <c r="J434" s="65"/>
      <c r="K434" s="65"/>
      <c r="L434" s="58"/>
      <c r="M434" s="65"/>
      <c r="N434" s="58"/>
      <c r="O434" s="71"/>
      <c r="P434" s="65"/>
      <c r="Q434" s="66"/>
      <c r="R434" s="16"/>
      <c r="S434" s="16"/>
      <c r="T434" s="16"/>
      <c r="U434" s="16"/>
      <c r="V434" s="16"/>
      <c r="W434" s="16"/>
      <c r="X434" s="301" t="s">
        <v>252</v>
      </c>
      <c r="Y434" s="295" t="s">
        <v>62</v>
      </c>
      <c r="Z434" s="296" t="s">
        <v>15</v>
      </c>
      <c r="AA434" s="296" t="s">
        <v>28</v>
      </c>
      <c r="AB434" s="348" t="s">
        <v>139</v>
      </c>
      <c r="AC434" s="297"/>
      <c r="AD434" s="459">
        <f>AD435+AD438+AD441</f>
        <v>38268.299999999996</v>
      </c>
      <c r="AE434" s="428">
        <f>AE435+AE438+AE441</f>
        <v>37183.199999999997</v>
      </c>
      <c r="AF434" s="438">
        <f>AF435+AF438+AF441</f>
        <v>37369.700000000004</v>
      </c>
      <c r="AG434" s="19"/>
      <c r="AH434" s="19"/>
      <c r="AI434" s="113"/>
    </row>
    <row r="435" spans="1:35" s="77" customFormat="1" ht="31.5" x14ac:dyDescent="0.25">
      <c r="A435" s="14"/>
      <c r="B435" s="63"/>
      <c r="C435" s="64"/>
      <c r="D435" s="64"/>
      <c r="E435" s="12"/>
      <c r="F435" s="12"/>
      <c r="G435" s="65"/>
      <c r="H435" s="65"/>
      <c r="I435" s="65"/>
      <c r="J435" s="65"/>
      <c r="K435" s="65"/>
      <c r="L435" s="58"/>
      <c r="M435" s="65"/>
      <c r="N435" s="58"/>
      <c r="O435" s="71"/>
      <c r="P435" s="65"/>
      <c r="Q435" s="66"/>
      <c r="R435" s="16"/>
      <c r="S435" s="16"/>
      <c r="T435" s="16"/>
      <c r="U435" s="16"/>
      <c r="V435" s="16"/>
      <c r="W435" s="16"/>
      <c r="X435" s="446" t="s">
        <v>733</v>
      </c>
      <c r="Y435" s="295" t="s">
        <v>62</v>
      </c>
      <c r="Z435" s="296" t="s">
        <v>15</v>
      </c>
      <c r="AA435" s="296" t="s">
        <v>28</v>
      </c>
      <c r="AB435" s="348" t="s">
        <v>253</v>
      </c>
      <c r="AC435" s="297"/>
      <c r="AD435" s="459">
        <f t="shared" ref="AD435:AF436" si="91">AD436</f>
        <v>1000</v>
      </c>
      <c r="AE435" s="428">
        <f t="shared" si="91"/>
        <v>1000</v>
      </c>
      <c r="AF435" s="438">
        <f t="shared" si="91"/>
        <v>1000</v>
      </c>
      <c r="AG435" s="19"/>
      <c r="AH435" s="19"/>
      <c r="AI435" s="113"/>
    </row>
    <row r="436" spans="1:35" s="77" customFormat="1" ht="31.5" x14ac:dyDescent="0.25">
      <c r="A436" s="14"/>
      <c r="B436" s="63"/>
      <c r="C436" s="64"/>
      <c r="D436" s="64"/>
      <c r="E436" s="12"/>
      <c r="F436" s="12"/>
      <c r="G436" s="65"/>
      <c r="H436" s="65"/>
      <c r="I436" s="65"/>
      <c r="J436" s="65"/>
      <c r="K436" s="65"/>
      <c r="L436" s="58"/>
      <c r="M436" s="65"/>
      <c r="N436" s="58"/>
      <c r="O436" s="71"/>
      <c r="P436" s="65"/>
      <c r="Q436" s="66"/>
      <c r="R436" s="16"/>
      <c r="S436" s="16"/>
      <c r="T436" s="16"/>
      <c r="U436" s="16"/>
      <c r="V436" s="16"/>
      <c r="W436" s="16"/>
      <c r="X436" s="294" t="s">
        <v>59</v>
      </c>
      <c r="Y436" s="295" t="s">
        <v>62</v>
      </c>
      <c r="Z436" s="296" t="s">
        <v>15</v>
      </c>
      <c r="AA436" s="296" t="s">
        <v>28</v>
      </c>
      <c r="AB436" s="348" t="s">
        <v>253</v>
      </c>
      <c r="AC436" s="297">
        <v>600</v>
      </c>
      <c r="AD436" s="459">
        <f t="shared" si="91"/>
        <v>1000</v>
      </c>
      <c r="AE436" s="428">
        <f t="shared" si="91"/>
        <v>1000</v>
      </c>
      <c r="AF436" s="438">
        <f t="shared" si="91"/>
        <v>1000</v>
      </c>
      <c r="AG436" s="19"/>
      <c r="AH436" s="19"/>
      <c r="AI436" s="113"/>
    </row>
    <row r="437" spans="1:35" s="77" customFormat="1" x14ac:dyDescent="0.25">
      <c r="A437" s="14"/>
      <c r="B437" s="63"/>
      <c r="C437" s="64"/>
      <c r="D437" s="64"/>
      <c r="E437" s="12"/>
      <c r="F437" s="12"/>
      <c r="G437" s="65"/>
      <c r="H437" s="65"/>
      <c r="I437" s="65"/>
      <c r="J437" s="65"/>
      <c r="K437" s="65"/>
      <c r="L437" s="58"/>
      <c r="M437" s="65"/>
      <c r="N437" s="58"/>
      <c r="O437" s="71"/>
      <c r="P437" s="65"/>
      <c r="Q437" s="66"/>
      <c r="R437" s="16"/>
      <c r="S437" s="16"/>
      <c r="T437" s="16"/>
      <c r="U437" s="16"/>
      <c r="V437" s="16"/>
      <c r="W437" s="16"/>
      <c r="X437" s="294" t="s">
        <v>60</v>
      </c>
      <c r="Y437" s="295" t="s">
        <v>62</v>
      </c>
      <c r="Z437" s="296" t="s">
        <v>15</v>
      </c>
      <c r="AA437" s="296" t="s">
        <v>28</v>
      </c>
      <c r="AB437" s="348" t="s">
        <v>253</v>
      </c>
      <c r="AC437" s="297">
        <v>610</v>
      </c>
      <c r="AD437" s="459">
        <v>1000</v>
      </c>
      <c r="AE437" s="428">
        <v>1000</v>
      </c>
      <c r="AF437" s="438">
        <v>1000</v>
      </c>
      <c r="AG437" s="19"/>
      <c r="AH437" s="19"/>
      <c r="AI437" s="113"/>
    </row>
    <row r="438" spans="1:35" s="77" customFormat="1" ht="31.5" x14ac:dyDescent="0.25">
      <c r="A438" s="14"/>
      <c r="B438" s="63"/>
      <c r="C438" s="64"/>
      <c r="D438" s="64"/>
      <c r="E438" s="12"/>
      <c r="F438" s="12"/>
      <c r="G438" s="65"/>
      <c r="H438" s="65"/>
      <c r="I438" s="65"/>
      <c r="J438" s="65"/>
      <c r="K438" s="65"/>
      <c r="L438" s="58"/>
      <c r="M438" s="65"/>
      <c r="N438" s="58"/>
      <c r="O438" s="71"/>
      <c r="P438" s="65"/>
      <c r="Q438" s="66"/>
      <c r="R438" s="16"/>
      <c r="S438" s="16"/>
      <c r="T438" s="16"/>
      <c r="U438" s="16"/>
      <c r="V438" s="16"/>
      <c r="W438" s="16"/>
      <c r="X438" s="294" t="s">
        <v>254</v>
      </c>
      <c r="Y438" s="295" t="s">
        <v>62</v>
      </c>
      <c r="Z438" s="296" t="s">
        <v>15</v>
      </c>
      <c r="AA438" s="296" t="s">
        <v>28</v>
      </c>
      <c r="AB438" s="348" t="s">
        <v>255</v>
      </c>
      <c r="AC438" s="297"/>
      <c r="AD438" s="459">
        <f t="shared" ref="AD438:AF439" si="92">AD439</f>
        <v>36893.599999999999</v>
      </c>
      <c r="AE438" s="428">
        <f t="shared" si="92"/>
        <v>35800.5</v>
      </c>
      <c r="AF438" s="438">
        <f t="shared" si="92"/>
        <v>35991.4</v>
      </c>
      <c r="AG438" s="19"/>
      <c r="AH438" s="19"/>
      <c r="AI438" s="113"/>
    </row>
    <row r="439" spans="1:35" s="77" customFormat="1" ht="31.5" x14ac:dyDescent="0.25">
      <c r="A439" s="14"/>
      <c r="B439" s="63"/>
      <c r="C439" s="64"/>
      <c r="D439" s="64"/>
      <c r="E439" s="12"/>
      <c r="F439" s="12"/>
      <c r="G439" s="65"/>
      <c r="H439" s="65"/>
      <c r="I439" s="65"/>
      <c r="J439" s="65"/>
      <c r="K439" s="65"/>
      <c r="L439" s="58"/>
      <c r="M439" s="65"/>
      <c r="N439" s="58"/>
      <c r="O439" s="71"/>
      <c r="P439" s="65"/>
      <c r="Q439" s="66"/>
      <c r="R439" s="16"/>
      <c r="S439" s="16"/>
      <c r="T439" s="16"/>
      <c r="U439" s="16"/>
      <c r="V439" s="16"/>
      <c r="W439" s="16"/>
      <c r="X439" s="294" t="s">
        <v>59</v>
      </c>
      <c r="Y439" s="295" t="s">
        <v>62</v>
      </c>
      <c r="Z439" s="296" t="s">
        <v>15</v>
      </c>
      <c r="AA439" s="296" t="s">
        <v>28</v>
      </c>
      <c r="AB439" s="348" t="s">
        <v>255</v>
      </c>
      <c r="AC439" s="297">
        <v>600</v>
      </c>
      <c r="AD439" s="459">
        <f t="shared" si="92"/>
        <v>36893.599999999999</v>
      </c>
      <c r="AE439" s="428">
        <f t="shared" si="92"/>
        <v>35800.5</v>
      </c>
      <c r="AF439" s="438">
        <f t="shared" si="92"/>
        <v>35991.4</v>
      </c>
      <c r="AG439" s="19"/>
      <c r="AH439" s="19"/>
      <c r="AI439" s="113"/>
    </row>
    <row r="440" spans="1:35" s="77" customFormat="1" x14ac:dyDescent="0.25">
      <c r="A440" s="14"/>
      <c r="B440" s="63"/>
      <c r="C440" s="64"/>
      <c r="D440" s="64"/>
      <c r="E440" s="12"/>
      <c r="F440" s="12"/>
      <c r="G440" s="65"/>
      <c r="H440" s="65"/>
      <c r="I440" s="65"/>
      <c r="J440" s="65"/>
      <c r="K440" s="65"/>
      <c r="L440" s="58"/>
      <c r="M440" s="65"/>
      <c r="N440" s="58"/>
      <c r="O440" s="71"/>
      <c r="P440" s="65"/>
      <c r="Q440" s="66"/>
      <c r="R440" s="16"/>
      <c r="S440" s="16"/>
      <c r="T440" s="16"/>
      <c r="U440" s="16"/>
      <c r="V440" s="16"/>
      <c r="W440" s="16"/>
      <c r="X440" s="294" t="s">
        <v>60</v>
      </c>
      <c r="Y440" s="295" t="s">
        <v>62</v>
      </c>
      <c r="Z440" s="296" t="s">
        <v>15</v>
      </c>
      <c r="AA440" s="296" t="s">
        <v>28</v>
      </c>
      <c r="AB440" s="348" t="s">
        <v>255</v>
      </c>
      <c r="AC440" s="297">
        <v>610</v>
      </c>
      <c r="AD440" s="460">
        <f>36893.6</f>
        <v>36893.599999999999</v>
      </c>
      <c r="AE440" s="428">
        <v>35800.5</v>
      </c>
      <c r="AF440" s="438">
        <v>35991.4</v>
      </c>
      <c r="AG440" s="19"/>
      <c r="AH440" s="19"/>
      <c r="AI440" s="113"/>
    </row>
    <row r="441" spans="1:35" s="77" customFormat="1" ht="31.5" x14ac:dyDescent="0.25">
      <c r="A441" s="14"/>
      <c r="B441" s="63"/>
      <c r="C441" s="64"/>
      <c r="D441" s="64"/>
      <c r="E441" s="12"/>
      <c r="F441" s="12"/>
      <c r="G441" s="65"/>
      <c r="H441" s="65"/>
      <c r="I441" s="65"/>
      <c r="J441" s="65"/>
      <c r="K441" s="65"/>
      <c r="L441" s="58"/>
      <c r="M441" s="65"/>
      <c r="N441" s="58"/>
      <c r="O441" s="71"/>
      <c r="P441" s="65"/>
      <c r="Q441" s="66"/>
      <c r="R441" s="16"/>
      <c r="S441" s="16"/>
      <c r="T441" s="16"/>
      <c r="U441" s="16"/>
      <c r="V441" s="16"/>
      <c r="W441" s="16"/>
      <c r="X441" s="446" t="s">
        <v>496</v>
      </c>
      <c r="Y441" s="295" t="s">
        <v>62</v>
      </c>
      <c r="Z441" s="296" t="s">
        <v>15</v>
      </c>
      <c r="AA441" s="296" t="s">
        <v>28</v>
      </c>
      <c r="AB441" s="348" t="s">
        <v>394</v>
      </c>
      <c r="AC441" s="297"/>
      <c r="AD441" s="459">
        <f t="shared" ref="AD441:AF442" si="93">AD442</f>
        <v>374.70000000000005</v>
      </c>
      <c r="AE441" s="428">
        <f t="shared" si="93"/>
        <v>382.7</v>
      </c>
      <c r="AF441" s="438">
        <f t="shared" si="93"/>
        <v>378.3</v>
      </c>
      <c r="AG441" s="19"/>
      <c r="AH441" s="19"/>
      <c r="AI441" s="113"/>
    </row>
    <row r="442" spans="1:35" s="77" customFormat="1" ht="31.5" x14ac:dyDescent="0.25">
      <c r="A442" s="14"/>
      <c r="B442" s="63"/>
      <c r="C442" s="64"/>
      <c r="D442" s="64"/>
      <c r="E442" s="12"/>
      <c r="F442" s="12"/>
      <c r="G442" s="65"/>
      <c r="H442" s="65"/>
      <c r="I442" s="65"/>
      <c r="J442" s="65"/>
      <c r="K442" s="65"/>
      <c r="L442" s="58"/>
      <c r="M442" s="65"/>
      <c r="N442" s="58"/>
      <c r="O442" s="71"/>
      <c r="P442" s="65"/>
      <c r="Q442" s="66"/>
      <c r="R442" s="16"/>
      <c r="S442" s="16"/>
      <c r="T442" s="16"/>
      <c r="U442" s="16"/>
      <c r="V442" s="16"/>
      <c r="W442" s="16"/>
      <c r="X442" s="446" t="s">
        <v>59</v>
      </c>
      <c r="Y442" s="295" t="s">
        <v>62</v>
      </c>
      <c r="Z442" s="296" t="s">
        <v>15</v>
      </c>
      <c r="AA442" s="296" t="s">
        <v>28</v>
      </c>
      <c r="AB442" s="348" t="s">
        <v>394</v>
      </c>
      <c r="AC442" s="297">
        <v>600</v>
      </c>
      <c r="AD442" s="459">
        <f t="shared" si="93"/>
        <v>374.70000000000005</v>
      </c>
      <c r="AE442" s="428">
        <f t="shared" si="93"/>
        <v>382.7</v>
      </c>
      <c r="AF442" s="438">
        <f t="shared" si="93"/>
        <v>378.3</v>
      </c>
      <c r="AG442" s="19"/>
      <c r="AH442" s="19"/>
      <c r="AI442" s="113"/>
    </row>
    <row r="443" spans="1:35" s="77" customFormat="1" x14ac:dyDescent="0.25">
      <c r="A443" s="14"/>
      <c r="B443" s="63"/>
      <c r="C443" s="64"/>
      <c r="D443" s="64"/>
      <c r="E443" s="12"/>
      <c r="F443" s="12"/>
      <c r="G443" s="65"/>
      <c r="H443" s="65"/>
      <c r="I443" s="65"/>
      <c r="J443" s="65"/>
      <c r="K443" s="65"/>
      <c r="L443" s="58"/>
      <c r="M443" s="65"/>
      <c r="N443" s="58"/>
      <c r="O443" s="71"/>
      <c r="P443" s="65"/>
      <c r="Q443" s="66"/>
      <c r="R443" s="16"/>
      <c r="S443" s="16"/>
      <c r="T443" s="16"/>
      <c r="U443" s="16"/>
      <c r="V443" s="16"/>
      <c r="W443" s="16"/>
      <c r="X443" s="446" t="s">
        <v>60</v>
      </c>
      <c r="Y443" s="295" t="s">
        <v>62</v>
      </c>
      <c r="Z443" s="296" t="s">
        <v>15</v>
      </c>
      <c r="AA443" s="296" t="s">
        <v>28</v>
      </c>
      <c r="AB443" s="348" t="s">
        <v>394</v>
      </c>
      <c r="AC443" s="297">
        <v>610</v>
      </c>
      <c r="AD443" s="459">
        <f>307.6+67.1</f>
        <v>374.70000000000005</v>
      </c>
      <c r="AE443" s="429">
        <f>314.2+68.5</f>
        <v>382.7</v>
      </c>
      <c r="AF443" s="438">
        <f>310.6+67.7</f>
        <v>378.3</v>
      </c>
      <c r="AG443" s="19"/>
      <c r="AH443" s="19"/>
      <c r="AI443" s="113"/>
    </row>
    <row r="444" spans="1:35" s="77" customFormat="1" ht="32.25" customHeight="1" x14ac:dyDescent="0.25">
      <c r="A444" s="14"/>
      <c r="B444" s="63"/>
      <c r="C444" s="64"/>
      <c r="D444" s="64"/>
      <c r="E444" s="12"/>
      <c r="F444" s="12"/>
      <c r="G444" s="65"/>
      <c r="H444" s="65"/>
      <c r="I444" s="65"/>
      <c r="J444" s="65"/>
      <c r="K444" s="65"/>
      <c r="L444" s="58"/>
      <c r="M444" s="65"/>
      <c r="N444" s="58"/>
      <c r="O444" s="71"/>
      <c r="P444" s="65"/>
      <c r="Q444" s="66"/>
      <c r="R444" s="16"/>
      <c r="S444" s="16"/>
      <c r="T444" s="16"/>
      <c r="U444" s="16"/>
      <c r="V444" s="16"/>
      <c r="W444" s="16"/>
      <c r="X444" s="446" t="s">
        <v>852</v>
      </c>
      <c r="Y444" s="295" t="s">
        <v>62</v>
      </c>
      <c r="Z444" s="296" t="s">
        <v>15</v>
      </c>
      <c r="AA444" s="296" t="s">
        <v>28</v>
      </c>
      <c r="AB444" s="348" t="s">
        <v>854</v>
      </c>
      <c r="AC444" s="297"/>
      <c r="AD444" s="459">
        <f>AD445</f>
        <v>1000</v>
      </c>
      <c r="AE444" s="459">
        <f t="shared" ref="AE444:AF446" si="94">AE445</f>
        <v>0</v>
      </c>
      <c r="AF444" s="459">
        <f t="shared" si="94"/>
        <v>0</v>
      </c>
      <c r="AG444" s="19"/>
      <c r="AH444" s="19"/>
      <c r="AI444" s="113"/>
    </row>
    <row r="445" spans="1:35" s="77" customFormat="1" x14ac:dyDescent="0.25">
      <c r="A445" s="14"/>
      <c r="B445" s="63"/>
      <c r="C445" s="64"/>
      <c r="D445" s="64"/>
      <c r="E445" s="12"/>
      <c r="F445" s="12"/>
      <c r="G445" s="65"/>
      <c r="H445" s="65"/>
      <c r="I445" s="65"/>
      <c r="J445" s="65"/>
      <c r="K445" s="65"/>
      <c r="L445" s="58"/>
      <c r="M445" s="65"/>
      <c r="N445" s="58"/>
      <c r="O445" s="71"/>
      <c r="P445" s="65"/>
      <c r="Q445" s="66"/>
      <c r="R445" s="16"/>
      <c r="S445" s="16"/>
      <c r="T445" s="16"/>
      <c r="U445" s="16"/>
      <c r="V445" s="16"/>
      <c r="W445" s="16"/>
      <c r="X445" s="446" t="s">
        <v>853</v>
      </c>
      <c r="Y445" s="295" t="s">
        <v>62</v>
      </c>
      <c r="Z445" s="296" t="s">
        <v>15</v>
      </c>
      <c r="AA445" s="296" t="s">
        <v>28</v>
      </c>
      <c r="AB445" s="348" t="s">
        <v>855</v>
      </c>
      <c r="AC445" s="297"/>
      <c r="AD445" s="459">
        <f>AD446</f>
        <v>1000</v>
      </c>
      <c r="AE445" s="459">
        <f t="shared" si="94"/>
        <v>0</v>
      </c>
      <c r="AF445" s="459">
        <f t="shared" si="94"/>
        <v>0</v>
      </c>
      <c r="AG445" s="19"/>
      <c r="AH445" s="19"/>
      <c r="AI445" s="113"/>
    </row>
    <row r="446" spans="1:35" s="77" customFormat="1" ht="31.5" x14ac:dyDescent="0.25">
      <c r="A446" s="14"/>
      <c r="B446" s="63"/>
      <c r="C446" s="64"/>
      <c r="D446" s="64"/>
      <c r="E446" s="12"/>
      <c r="F446" s="12"/>
      <c r="G446" s="65"/>
      <c r="H446" s="65"/>
      <c r="I446" s="65"/>
      <c r="J446" s="65"/>
      <c r="K446" s="65"/>
      <c r="L446" s="58"/>
      <c r="M446" s="65"/>
      <c r="N446" s="58"/>
      <c r="O446" s="71"/>
      <c r="P446" s="65"/>
      <c r="Q446" s="66"/>
      <c r="R446" s="16"/>
      <c r="S446" s="16"/>
      <c r="T446" s="16"/>
      <c r="U446" s="16"/>
      <c r="V446" s="16"/>
      <c r="W446" s="16"/>
      <c r="X446" s="446" t="s">
        <v>59</v>
      </c>
      <c r="Y446" s="295" t="s">
        <v>62</v>
      </c>
      <c r="Z446" s="296" t="s">
        <v>15</v>
      </c>
      <c r="AA446" s="296" t="s">
        <v>28</v>
      </c>
      <c r="AB446" s="348" t="s">
        <v>855</v>
      </c>
      <c r="AC446" s="297">
        <v>600</v>
      </c>
      <c r="AD446" s="459">
        <f>AD447</f>
        <v>1000</v>
      </c>
      <c r="AE446" s="459">
        <f t="shared" si="94"/>
        <v>0</v>
      </c>
      <c r="AF446" s="459">
        <f t="shared" si="94"/>
        <v>0</v>
      </c>
      <c r="AG446" s="19"/>
      <c r="AH446" s="19"/>
      <c r="AI446" s="113"/>
    </row>
    <row r="447" spans="1:35" s="77" customFormat="1" x14ac:dyDescent="0.25">
      <c r="A447" s="14"/>
      <c r="B447" s="63"/>
      <c r="C447" s="64"/>
      <c r="D447" s="64"/>
      <c r="E447" s="12"/>
      <c r="F447" s="12"/>
      <c r="G447" s="65"/>
      <c r="H447" s="65"/>
      <c r="I447" s="65"/>
      <c r="J447" s="65"/>
      <c r="K447" s="65"/>
      <c r="L447" s="58"/>
      <c r="M447" s="65"/>
      <c r="N447" s="58"/>
      <c r="O447" s="71"/>
      <c r="P447" s="65"/>
      <c r="Q447" s="66"/>
      <c r="R447" s="16"/>
      <c r="S447" s="16"/>
      <c r="T447" s="16"/>
      <c r="U447" s="16"/>
      <c r="V447" s="16"/>
      <c r="W447" s="16"/>
      <c r="X447" s="446" t="s">
        <v>60</v>
      </c>
      <c r="Y447" s="295" t="s">
        <v>62</v>
      </c>
      <c r="Z447" s="296" t="s">
        <v>15</v>
      </c>
      <c r="AA447" s="296" t="s">
        <v>28</v>
      </c>
      <c r="AB447" s="348" t="s">
        <v>855</v>
      </c>
      <c r="AC447" s="297">
        <v>610</v>
      </c>
      <c r="AD447" s="459">
        <v>1000</v>
      </c>
      <c r="AE447" s="460">
        <v>0</v>
      </c>
      <c r="AF447" s="489">
        <v>0</v>
      </c>
      <c r="AG447" s="19"/>
      <c r="AH447" s="19"/>
      <c r="AI447" s="113"/>
    </row>
    <row r="448" spans="1:35" s="77" customFormat="1" ht="31.5" x14ac:dyDescent="0.25">
      <c r="A448" s="14"/>
      <c r="B448" s="63"/>
      <c r="C448" s="64"/>
      <c r="D448" s="64"/>
      <c r="E448" s="12"/>
      <c r="F448" s="12"/>
      <c r="G448" s="65"/>
      <c r="H448" s="65"/>
      <c r="I448" s="65"/>
      <c r="J448" s="65"/>
      <c r="K448" s="65"/>
      <c r="L448" s="58"/>
      <c r="M448" s="65"/>
      <c r="N448" s="58"/>
      <c r="O448" s="71"/>
      <c r="P448" s="65"/>
      <c r="Q448" s="66"/>
      <c r="R448" s="16"/>
      <c r="S448" s="16"/>
      <c r="T448" s="16"/>
      <c r="U448" s="16"/>
      <c r="V448" s="16"/>
      <c r="W448" s="16"/>
      <c r="X448" s="301" t="s">
        <v>487</v>
      </c>
      <c r="Y448" s="295" t="s">
        <v>62</v>
      </c>
      <c r="Z448" s="296" t="s">
        <v>15</v>
      </c>
      <c r="AA448" s="296" t="s">
        <v>28</v>
      </c>
      <c r="AB448" s="348" t="s">
        <v>256</v>
      </c>
      <c r="AC448" s="297"/>
      <c r="AD448" s="459">
        <f>AD449+AD470+AD466</f>
        <v>133416.1</v>
      </c>
      <c r="AE448" s="459">
        <f>AE449+AE470+AE466</f>
        <v>80085</v>
      </c>
      <c r="AF448" s="459">
        <f>AF449+AF470+AF466</f>
        <v>64032.5</v>
      </c>
      <c r="AG448" s="19"/>
      <c r="AH448" s="19"/>
      <c r="AI448" s="113"/>
    </row>
    <row r="449" spans="1:35" s="77" customFormat="1" x14ac:dyDescent="0.25">
      <c r="A449" s="14"/>
      <c r="B449" s="63"/>
      <c r="C449" s="64"/>
      <c r="D449" s="64"/>
      <c r="E449" s="12"/>
      <c r="F449" s="12"/>
      <c r="G449" s="65"/>
      <c r="H449" s="65"/>
      <c r="I449" s="65"/>
      <c r="J449" s="65"/>
      <c r="K449" s="65"/>
      <c r="L449" s="58"/>
      <c r="M449" s="65"/>
      <c r="N449" s="58"/>
      <c r="O449" s="71"/>
      <c r="P449" s="65"/>
      <c r="Q449" s="66"/>
      <c r="R449" s="16"/>
      <c r="S449" s="16"/>
      <c r="T449" s="16"/>
      <c r="U449" s="16"/>
      <c r="V449" s="16"/>
      <c r="W449" s="16"/>
      <c r="X449" s="301" t="s">
        <v>348</v>
      </c>
      <c r="Y449" s="295" t="s">
        <v>62</v>
      </c>
      <c r="Z449" s="296" t="s">
        <v>15</v>
      </c>
      <c r="AA449" s="296" t="s">
        <v>28</v>
      </c>
      <c r="AB449" s="348" t="s">
        <v>488</v>
      </c>
      <c r="AC449" s="297"/>
      <c r="AD449" s="459">
        <f>AD459+AD450</f>
        <v>119130.3</v>
      </c>
      <c r="AE449" s="428">
        <f>AE459+AE450</f>
        <v>79739.5</v>
      </c>
      <c r="AF449" s="438">
        <f>AF459+AF450</f>
        <v>64032.5</v>
      </c>
      <c r="AG449" s="19"/>
      <c r="AH449" s="19"/>
      <c r="AI449" s="113"/>
    </row>
    <row r="450" spans="1:35" s="77" customFormat="1" x14ac:dyDescent="0.25">
      <c r="A450" s="14"/>
      <c r="B450" s="63"/>
      <c r="C450" s="64"/>
      <c r="D450" s="64"/>
      <c r="E450" s="12"/>
      <c r="F450" s="12"/>
      <c r="G450" s="65"/>
      <c r="H450" s="65"/>
      <c r="I450" s="65"/>
      <c r="J450" s="65"/>
      <c r="K450" s="65"/>
      <c r="L450" s="58"/>
      <c r="M450" s="65"/>
      <c r="N450" s="58"/>
      <c r="O450" s="71"/>
      <c r="P450" s="65"/>
      <c r="Q450" s="66"/>
      <c r="R450" s="16"/>
      <c r="S450" s="16"/>
      <c r="T450" s="16"/>
      <c r="U450" s="16"/>
      <c r="V450" s="16"/>
      <c r="W450" s="16"/>
      <c r="X450" s="446" t="s">
        <v>257</v>
      </c>
      <c r="Y450" s="295" t="s">
        <v>62</v>
      </c>
      <c r="Z450" s="296" t="s">
        <v>15</v>
      </c>
      <c r="AA450" s="296" t="s">
        <v>28</v>
      </c>
      <c r="AB450" s="348" t="s">
        <v>547</v>
      </c>
      <c r="AC450" s="297"/>
      <c r="AD450" s="459">
        <f>AD451+AD456</f>
        <v>25585</v>
      </c>
      <c r="AE450" s="428">
        <f>AE451+AE456</f>
        <v>130</v>
      </c>
      <c r="AF450" s="438">
        <f>AF451+AF456</f>
        <v>0</v>
      </c>
      <c r="AG450" s="19"/>
      <c r="AH450" s="19"/>
      <c r="AI450" s="113"/>
    </row>
    <row r="451" spans="1:35" s="77" customFormat="1" ht="31.5" x14ac:dyDescent="0.25">
      <c r="A451" s="14"/>
      <c r="B451" s="63"/>
      <c r="C451" s="64"/>
      <c r="D451" s="64"/>
      <c r="E451" s="12"/>
      <c r="F451" s="12"/>
      <c r="G451" s="65"/>
      <c r="H451" s="65"/>
      <c r="I451" s="65"/>
      <c r="J451" s="65"/>
      <c r="K451" s="65"/>
      <c r="L451" s="58"/>
      <c r="M451" s="65"/>
      <c r="N451" s="58"/>
      <c r="O451" s="71"/>
      <c r="P451" s="65"/>
      <c r="Q451" s="66"/>
      <c r="R451" s="16"/>
      <c r="S451" s="16"/>
      <c r="T451" s="16"/>
      <c r="U451" s="16"/>
      <c r="V451" s="16"/>
      <c r="W451" s="16"/>
      <c r="X451" s="294" t="s">
        <v>258</v>
      </c>
      <c r="Y451" s="295" t="s">
        <v>62</v>
      </c>
      <c r="Z451" s="296" t="s">
        <v>15</v>
      </c>
      <c r="AA451" s="296" t="s">
        <v>28</v>
      </c>
      <c r="AB451" s="348" t="s">
        <v>548</v>
      </c>
      <c r="AC451" s="297"/>
      <c r="AD451" s="459">
        <f>AD454+AD452</f>
        <v>25050</v>
      </c>
      <c r="AE451" s="428">
        <f>AE454+AE452</f>
        <v>130</v>
      </c>
      <c r="AF451" s="438">
        <f>AF454+AF452</f>
        <v>0</v>
      </c>
      <c r="AG451" s="19"/>
      <c r="AH451" s="19"/>
      <c r="AI451" s="113"/>
    </row>
    <row r="452" spans="1:35" s="77" customFormat="1" x14ac:dyDescent="0.25">
      <c r="A452" s="14"/>
      <c r="B452" s="63"/>
      <c r="C452" s="64"/>
      <c r="D452" s="64"/>
      <c r="E452" s="12"/>
      <c r="F452" s="12"/>
      <c r="G452" s="65"/>
      <c r="H452" s="65"/>
      <c r="I452" s="65"/>
      <c r="J452" s="65"/>
      <c r="K452" s="65"/>
      <c r="L452" s="58"/>
      <c r="M452" s="65"/>
      <c r="N452" s="58"/>
      <c r="O452" s="71"/>
      <c r="P452" s="65"/>
      <c r="Q452" s="66"/>
      <c r="R452" s="16"/>
      <c r="S452" s="16"/>
      <c r="T452" s="16"/>
      <c r="U452" s="16"/>
      <c r="V452" s="16"/>
      <c r="W452" s="16"/>
      <c r="X452" s="446" t="s">
        <v>118</v>
      </c>
      <c r="Y452" s="295" t="s">
        <v>62</v>
      </c>
      <c r="Z452" s="296" t="s">
        <v>15</v>
      </c>
      <c r="AA452" s="296" t="s">
        <v>28</v>
      </c>
      <c r="AB452" s="348" t="s">
        <v>548</v>
      </c>
      <c r="AC452" s="297">
        <v>200</v>
      </c>
      <c r="AD452" s="459">
        <f>AD453</f>
        <v>2014.5</v>
      </c>
      <c r="AE452" s="428">
        <f>AE453</f>
        <v>130</v>
      </c>
      <c r="AF452" s="438">
        <f>AF453</f>
        <v>0</v>
      </c>
      <c r="AG452" s="19"/>
      <c r="AH452" s="19"/>
      <c r="AI452" s="113"/>
    </row>
    <row r="453" spans="1:35" s="77" customFormat="1" ht="31.5" x14ac:dyDescent="0.25">
      <c r="A453" s="14"/>
      <c r="B453" s="63"/>
      <c r="C453" s="64"/>
      <c r="D453" s="64"/>
      <c r="E453" s="12"/>
      <c r="F453" s="12"/>
      <c r="G453" s="65"/>
      <c r="H453" s="65"/>
      <c r="I453" s="65"/>
      <c r="J453" s="65"/>
      <c r="K453" s="65"/>
      <c r="L453" s="58"/>
      <c r="M453" s="65"/>
      <c r="N453" s="58"/>
      <c r="O453" s="71"/>
      <c r="P453" s="65"/>
      <c r="Q453" s="66"/>
      <c r="R453" s="16"/>
      <c r="S453" s="16"/>
      <c r="T453" s="16"/>
      <c r="U453" s="16"/>
      <c r="V453" s="16"/>
      <c r="W453" s="16"/>
      <c r="X453" s="446" t="s">
        <v>51</v>
      </c>
      <c r="Y453" s="295" t="s">
        <v>62</v>
      </c>
      <c r="Z453" s="296" t="s">
        <v>15</v>
      </c>
      <c r="AA453" s="296" t="s">
        <v>28</v>
      </c>
      <c r="AB453" s="348" t="s">
        <v>548</v>
      </c>
      <c r="AC453" s="297">
        <v>240</v>
      </c>
      <c r="AD453" s="459">
        <f>130+600+4060.5+500-4060.5+300+8735-8735+4000+500-4000-15.5</f>
        <v>2014.5</v>
      </c>
      <c r="AE453" s="428">
        <v>130</v>
      </c>
      <c r="AF453" s="438">
        <v>0</v>
      </c>
      <c r="AG453" s="19"/>
      <c r="AH453" s="19"/>
      <c r="AI453" s="113"/>
    </row>
    <row r="454" spans="1:35" s="77" customFormat="1" ht="31.5" x14ac:dyDescent="0.25">
      <c r="A454" s="14"/>
      <c r="B454" s="63"/>
      <c r="C454" s="64"/>
      <c r="D454" s="64"/>
      <c r="E454" s="12"/>
      <c r="F454" s="12"/>
      <c r="G454" s="65"/>
      <c r="H454" s="65"/>
      <c r="I454" s="65"/>
      <c r="J454" s="65"/>
      <c r="K454" s="65"/>
      <c r="L454" s="58"/>
      <c r="M454" s="65"/>
      <c r="N454" s="58"/>
      <c r="O454" s="71"/>
      <c r="P454" s="65"/>
      <c r="Q454" s="66"/>
      <c r="R454" s="16"/>
      <c r="S454" s="16"/>
      <c r="T454" s="16"/>
      <c r="U454" s="16"/>
      <c r="V454" s="16"/>
      <c r="W454" s="16"/>
      <c r="X454" s="294" t="s">
        <v>59</v>
      </c>
      <c r="Y454" s="295" t="s">
        <v>62</v>
      </c>
      <c r="Z454" s="296" t="s">
        <v>15</v>
      </c>
      <c r="AA454" s="296" t="s">
        <v>28</v>
      </c>
      <c r="AB454" s="348" t="s">
        <v>548</v>
      </c>
      <c r="AC454" s="297">
        <v>600</v>
      </c>
      <c r="AD454" s="459">
        <f>AD455</f>
        <v>23035.5</v>
      </c>
      <c r="AE454" s="428">
        <f>AE455</f>
        <v>0</v>
      </c>
      <c r="AF454" s="438">
        <f>AF455</f>
        <v>0</v>
      </c>
      <c r="AG454" s="19"/>
      <c r="AH454" s="19"/>
      <c r="AI454" s="113"/>
    </row>
    <row r="455" spans="1:35" s="77" customFormat="1" x14ac:dyDescent="0.25">
      <c r="A455" s="14"/>
      <c r="B455" s="63"/>
      <c r="C455" s="64"/>
      <c r="D455" s="64"/>
      <c r="E455" s="12"/>
      <c r="F455" s="12"/>
      <c r="G455" s="65"/>
      <c r="H455" s="65"/>
      <c r="I455" s="65"/>
      <c r="J455" s="65"/>
      <c r="K455" s="65"/>
      <c r="L455" s="58"/>
      <c r="M455" s="65"/>
      <c r="N455" s="58"/>
      <c r="O455" s="71"/>
      <c r="P455" s="65"/>
      <c r="Q455" s="66"/>
      <c r="R455" s="16"/>
      <c r="S455" s="16"/>
      <c r="T455" s="16"/>
      <c r="U455" s="16"/>
      <c r="V455" s="16"/>
      <c r="W455" s="16"/>
      <c r="X455" s="294" t="s">
        <v>60</v>
      </c>
      <c r="Y455" s="295" t="s">
        <v>62</v>
      </c>
      <c r="Z455" s="296" t="s">
        <v>15</v>
      </c>
      <c r="AA455" s="296" t="s">
        <v>28</v>
      </c>
      <c r="AB455" s="348" t="s">
        <v>548</v>
      </c>
      <c r="AC455" s="297">
        <v>610</v>
      </c>
      <c r="AD455" s="459">
        <f>3349.5-600+4060.5+3475+8735+4000+15.5</f>
        <v>23035.5</v>
      </c>
      <c r="AE455" s="428">
        <v>0</v>
      </c>
      <c r="AF455" s="438">
        <v>0</v>
      </c>
      <c r="AG455" s="19"/>
      <c r="AH455" s="19"/>
      <c r="AI455" s="113"/>
    </row>
    <row r="456" spans="1:35" s="77" customFormat="1" ht="31.5" x14ac:dyDescent="0.25">
      <c r="A456" s="14"/>
      <c r="B456" s="63"/>
      <c r="C456" s="64"/>
      <c r="D456" s="64"/>
      <c r="E456" s="12"/>
      <c r="F456" s="12"/>
      <c r="G456" s="65"/>
      <c r="H456" s="65"/>
      <c r="I456" s="65"/>
      <c r="J456" s="65"/>
      <c r="K456" s="65"/>
      <c r="L456" s="58"/>
      <c r="M456" s="65"/>
      <c r="N456" s="58"/>
      <c r="O456" s="71"/>
      <c r="P456" s="65"/>
      <c r="Q456" s="66"/>
      <c r="R456" s="16"/>
      <c r="S456" s="16"/>
      <c r="T456" s="16"/>
      <c r="U456" s="16"/>
      <c r="V456" s="16"/>
      <c r="W456" s="16"/>
      <c r="X456" s="294" t="s">
        <v>259</v>
      </c>
      <c r="Y456" s="295" t="s">
        <v>62</v>
      </c>
      <c r="Z456" s="296" t="s">
        <v>15</v>
      </c>
      <c r="AA456" s="296" t="s">
        <v>28</v>
      </c>
      <c r="AB456" s="348" t="s">
        <v>549</v>
      </c>
      <c r="AC456" s="297"/>
      <c r="AD456" s="459">
        <f t="shared" ref="AD456:AF457" si="95">AD457</f>
        <v>535</v>
      </c>
      <c r="AE456" s="428">
        <f t="shared" si="95"/>
        <v>0</v>
      </c>
      <c r="AF456" s="438">
        <f t="shared" si="95"/>
        <v>0</v>
      </c>
      <c r="AG456" s="19"/>
      <c r="AH456" s="19"/>
      <c r="AI456" s="113"/>
    </row>
    <row r="457" spans="1:35" s="77" customFormat="1" ht="31.5" x14ac:dyDescent="0.25">
      <c r="A457" s="14"/>
      <c r="B457" s="63"/>
      <c r="C457" s="64"/>
      <c r="D457" s="64"/>
      <c r="E457" s="12"/>
      <c r="F457" s="12"/>
      <c r="G457" s="65"/>
      <c r="H457" s="65"/>
      <c r="I457" s="65"/>
      <c r="J457" s="65"/>
      <c r="K457" s="65"/>
      <c r="L457" s="58"/>
      <c r="M457" s="65"/>
      <c r="N457" s="58"/>
      <c r="O457" s="71"/>
      <c r="P457" s="65"/>
      <c r="Q457" s="66"/>
      <c r="R457" s="16"/>
      <c r="S457" s="16"/>
      <c r="T457" s="16"/>
      <c r="U457" s="16"/>
      <c r="V457" s="16"/>
      <c r="W457" s="16"/>
      <c r="X457" s="294" t="s">
        <v>59</v>
      </c>
      <c r="Y457" s="295" t="s">
        <v>62</v>
      </c>
      <c r="Z457" s="296" t="s">
        <v>15</v>
      </c>
      <c r="AA457" s="296" t="s">
        <v>28</v>
      </c>
      <c r="AB457" s="348" t="s">
        <v>549</v>
      </c>
      <c r="AC457" s="297">
        <v>600</v>
      </c>
      <c r="AD457" s="459">
        <f t="shared" si="95"/>
        <v>535</v>
      </c>
      <c r="AE457" s="428">
        <f t="shared" si="95"/>
        <v>0</v>
      </c>
      <c r="AF457" s="438">
        <f t="shared" si="95"/>
        <v>0</v>
      </c>
      <c r="AG457" s="19"/>
      <c r="AH457" s="19"/>
      <c r="AI457" s="113"/>
    </row>
    <row r="458" spans="1:35" s="77" customFormat="1" x14ac:dyDescent="0.25">
      <c r="A458" s="14"/>
      <c r="B458" s="63"/>
      <c r="C458" s="64"/>
      <c r="D458" s="64"/>
      <c r="E458" s="12"/>
      <c r="F458" s="12"/>
      <c r="G458" s="65"/>
      <c r="H458" s="65"/>
      <c r="I458" s="65"/>
      <c r="J458" s="65"/>
      <c r="K458" s="65"/>
      <c r="L458" s="58"/>
      <c r="M458" s="65"/>
      <c r="N458" s="58"/>
      <c r="O458" s="71"/>
      <c r="P458" s="65"/>
      <c r="Q458" s="66"/>
      <c r="R458" s="16"/>
      <c r="S458" s="16"/>
      <c r="T458" s="16"/>
      <c r="U458" s="16"/>
      <c r="V458" s="16"/>
      <c r="W458" s="16"/>
      <c r="X458" s="294" t="s">
        <v>60</v>
      </c>
      <c r="Y458" s="295" t="s">
        <v>62</v>
      </c>
      <c r="Z458" s="296" t="s">
        <v>15</v>
      </c>
      <c r="AA458" s="296" t="s">
        <v>28</v>
      </c>
      <c r="AB458" s="348" t="s">
        <v>549</v>
      </c>
      <c r="AC458" s="297">
        <v>610</v>
      </c>
      <c r="AD458" s="459">
        <v>535</v>
      </c>
      <c r="AE458" s="428">
        <v>0</v>
      </c>
      <c r="AF458" s="438">
        <v>0</v>
      </c>
      <c r="AG458" s="19"/>
      <c r="AH458" s="19"/>
      <c r="AI458" s="113"/>
    </row>
    <row r="459" spans="1:35" s="77" customFormat="1" ht="31.5" x14ac:dyDescent="0.25">
      <c r="A459" s="14"/>
      <c r="B459" s="63"/>
      <c r="C459" s="64"/>
      <c r="D459" s="64"/>
      <c r="E459" s="12"/>
      <c r="F459" s="12"/>
      <c r="G459" s="65"/>
      <c r="H459" s="65"/>
      <c r="I459" s="65"/>
      <c r="J459" s="65"/>
      <c r="K459" s="65"/>
      <c r="L459" s="58"/>
      <c r="M459" s="65"/>
      <c r="N459" s="58"/>
      <c r="O459" s="71"/>
      <c r="P459" s="65"/>
      <c r="Q459" s="66"/>
      <c r="R459" s="16"/>
      <c r="S459" s="16"/>
      <c r="T459" s="16"/>
      <c r="U459" s="16"/>
      <c r="V459" s="16"/>
      <c r="W459" s="16"/>
      <c r="X459" s="449" t="s">
        <v>349</v>
      </c>
      <c r="Y459" s="295" t="s">
        <v>62</v>
      </c>
      <c r="Z459" s="296" t="s">
        <v>15</v>
      </c>
      <c r="AA459" s="296" t="s">
        <v>28</v>
      </c>
      <c r="AB459" s="348" t="s">
        <v>489</v>
      </c>
      <c r="AC459" s="297"/>
      <c r="AD459" s="459">
        <f>AD460+AD463</f>
        <v>93545.3</v>
      </c>
      <c r="AE459" s="428">
        <f>AE460+AE463</f>
        <v>79609.5</v>
      </c>
      <c r="AF459" s="438">
        <f>AF460+AF463</f>
        <v>64032.5</v>
      </c>
      <c r="AG459" s="19"/>
      <c r="AH459" s="19"/>
      <c r="AI459" s="113"/>
    </row>
    <row r="460" spans="1:35" s="77" customFormat="1" ht="47.25" x14ac:dyDescent="0.25">
      <c r="A460" s="14"/>
      <c r="B460" s="63"/>
      <c r="C460" s="64"/>
      <c r="D460" s="64"/>
      <c r="E460" s="12"/>
      <c r="F460" s="12"/>
      <c r="G460" s="65"/>
      <c r="H460" s="65"/>
      <c r="I460" s="65"/>
      <c r="J460" s="65"/>
      <c r="K460" s="65"/>
      <c r="L460" s="58"/>
      <c r="M460" s="65"/>
      <c r="N460" s="58"/>
      <c r="O460" s="71"/>
      <c r="P460" s="65"/>
      <c r="Q460" s="66"/>
      <c r="R460" s="16"/>
      <c r="S460" s="16"/>
      <c r="T460" s="16"/>
      <c r="U460" s="16"/>
      <c r="V460" s="16"/>
      <c r="W460" s="16"/>
      <c r="X460" s="294" t="s">
        <v>357</v>
      </c>
      <c r="Y460" s="295" t="s">
        <v>62</v>
      </c>
      <c r="Z460" s="296" t="s">
        <v>15</v>
      </c>
      <c r="AA460" s="296" t="s">
        <v>28</v>
      </c>
      <c r="AB460" s="348" t="s">
        <v>490</v>
      </c>
      <c r="AC460" s="297"/>
      <c r="AD460" s="459">
        <f t="shared" ref="AD460:AF461" si="96">AD461</f>
        <v>41851.599999999999</v>
      </c>
      <c r="AE460" s="428">
        <f t="shared" si="96"/>
        <v>37761.300000000003</v>
      </c>
      <c r="AF460" s="438">
        <f t="shared" si="96"/>
        <v>21859.200000000001</v>
      </c>
      <c r="AG460" s="19"/>
      <c r="AH460" s="19"/>
      <c r="AI460" s="113"/>
    </row>
    <row r="461" spans="1:35" s="77" customFormat="1" ht="31.5" x14ac:dyDescent="0.25">
      <c r="A461" s="14"/>
      <c r="B461" s="63"/>
      <c r="C461" s="64"/>
      <c r="D461" s="64"/>
      <c r="E461" s="12"/>
      <c r="F461" s="12"/>
      <c r="G461" s="65"/>
      <c r="H461" s="65"/>
      <c r="I461" s="65"/>
      <c r="J461" s="65"/>
      <c r="K461" s="65"/>
      <c r="L461" s="58"/>
      <c r="M461" s="65"/>
      <c r="N461" s="58"/>
      <c r="O461" s="71"/>
      <c r="P461" s="65"/>
      <c r="Q461" s="66"/>
      <c r="R461" s="16"/>
      <c r="S461" s="16"/>
      <c r="T461" s="16"/>
      <c r="U461" s="16"/>
      <c r="V461" s="16"/>
      <c r="W461" s="16"/>
      <c r="X461" s="294" t="s">
        <v>59</v>
      </c>
      <c r="Y461" s="295" t="s">
        <v>62</v>
      </c>
      <c r="Z461" s="296" t="s">
        <v>15</v>
      </c>
      <c r="AA461" s="296" t="s">
        <v>28</v>
      </c>
      <c r="AB461" s="348" t="s">
        <v>490</v>
      </c>
      <c r="AC461" s="297">
        <v>600</v>
      </c>
      <c r="AD461" s="459">
        <f t="shared" si="96"/>
        <v>41851.599999999999</v>
      </c>
      <c r="AE461" s="428">
        <f t="shared" si="96"/>
        <v>37761.300000000003</v>
      </c>
      <c r="AF461" s="438">
        <f t="shared" si="96"/>
        <v>21859.200000000001</v>
      </c>
      <c r="AG461" s="19"/>
      <c r="AH461" s="19"/>
      <c r="AI461" s="113"/>
    </row>
    <row r="462" spans="1:35" s="77" customFormat="1" x14ac:dyDescent="0.25">
      <c r="A462" s="14"/>
      <c r="B462" s="63"/>
      <c r="C462" s="64"/>
      <c r="D462" s="64"/>
      <c r="E462" s="12"/>
      <c r="F462" s="12"/>
      <c r="G462" s="65"/>
      <c r="H462" s="65"/>
      <c r="I462" s="65"/>
      <c r="J462" s="65"/>
      <c r="K462" s="65"/>
      <c r="L462" s="58"/>
      <c r="M462" s="65"/>
      <c r="N462" s="58"/>
      <c r="O462" s="71"/>
      <c r="P462" s="65"/>
      <c r="Q462" s="66"/>
      <c r="R462" s="16"/>
      <c r="S462" s="16"/>
      <c r="T462" s="16"/>
      <c r="U462" s="16"/>
      <c r="V462" s="16"/>
      <c r="W462" s="16"/>
      <c r="X462" s="294" t="s">
        <v>60</v>
      </c>
      <c r="Y462" s="295" t="s">
        <v>62</v>
      </c>
      <c r="Z462" s="296" t="s">
        <v>15</v>
      </c>
      <c r="AA462" s="296" t="s">
        <v>28</v>
      </c>
      <c r="AB462" s="348" t="s">
        <v>490</v>
      </c>
      <c r="AC462" s="297">
        <v>610</v>
      </c>
      <c r="AD462" s="459">
        <v>41851.599999999999</v>
      </c>
      <c r="AE462" s="428">
        <v>37761.300000000003</v>
      </c>
      <c r="AF462" s="438">
        <v>21859.200000000001</v>
      </c>
      <c r="AG462" s="19"/>
      <c r="AH462" s="19"/>
      <c r="AI462" s="113"/>
    </row>
    <row r="463" spans="1:35" s="77" customFormat="1" ht="47.25" x14ac:dyDescent="0.25">
      <c r="A463" s="14"/>
      <c r="B463" s="63"/>
      <c r="C463" s="64"/>
      <c r="D463" s="64"/>
      <c r="E463" s="12"/>
      <c r="F463" s="12"/>
      <c r="G463" s="65"/>
      <c r="H463" s="65"/>
      <c r="I463" s="65"/>
      <c r="J463" s="65"/>
      <c r="K463" s="65"/>
      <c r="L463" s="58"/>
      <c r="M463" s="65"/>
      <c r="N463" s="58"/>
      <c r="O463" s="71"/>
      <c r="P463" s="65"/>
      <c r="Q463" s="66"/>
      <c r="R463" s="16"/>
      <c r="S463" s="16"/>
      <c r="T463" s="16"/>
      <c r="U463" s="16"/>
      <c r="V463" s="16"/>
      <c r="W463" s="16"/>
      <c r="X463" s="294" t="s">
        <v>358</v>
      </c>
      <c r="Y463" s="295" t="s">
        <v>62</v>
      </c>
      <c r="Z463" s="296" t="s">
        <v>15</v>
      </c>
      <c r="AA463" s="296" t="s">
        <v>28</v>
      </c>
      <c r="AB463" s="348" t="s">
        <v>491</v>
      </c>
      <c r="AC463" s="297"/>
      <c r="AD463" s="459">
        <f t="shared" ref="AD463:AF464" si="97">AD464</f>
        <v>51693.700000000004</v>
      </c>
      <c r="AE463" s="428">
        <f t="shared" si="97"/>
        <v>41848.199999999997</v>
      </c>
      <c r="AF463" s="438">
        <f t="shared" si="97"/>
        <v>42173.3</v>
      </c>
      <c r="AG463" s="19"/>
      <c r="AH463" s="19"/>
      <c r="AI463" s="113"/>
    </row>
    <row r="464" spans="1:35" s="77" customFormat="1" ht="31.5" x14ac:dyDescent="0.25">
      <c r="A464" s="14"/>
      <c r="B464" s="63"/>
      <c r="C464" s="64"/>
      <c r="D464" s="64"/>
      <c r="E464" s="12"/>
      <c r="F464" s="12"/>
      <c r="G464" s="65"/>
      <c r="H464" s="65"/>
      <c r="I464" s="65"/>
      <c r="J464" s="65"/>
      <c r="K464" s="65"/>
      <c r="L464" s="58"/>
      <c r="M464" s="65"/>
      <c r="N464" s="58"/>
      <c r="O464" s="71"/>
      <c r="P464" s="65"/>
      <c r="Q464" s="66"/>
      <c r="R464" s="16"/>
      <c r="S464" s="16"/>
      <c r="T464" s="16"/>
      <c r="U464" s="16"/>
      <c r="V464" s="16"/>
      <c r="W464" s="16"/>
      <c r="X464" s="294" t="s">
        <v>59</v>
      </c>
      <c r="Y464" s="295" t="s">
        <v>62</v>
      </c>
      <c r="Z464" s="296" t="s">
        <v>15</v>
      </c>
      <c r="AA464" s="296" t="s">
        <v>28</v>
      </c>
      <c r="AB464" s="348" t="s">
        <v>491</v>
      </c>
      <c r="AC464" s="297">
        <v>600</v>
      </c>
      <c r="AD464" s="459">
        <f t="shared" si="97"/>
        <v>51693.700000000004</v>
      </c>
      <c r="AE464" s="428">
        <f t="shared" si="97"/>
        <v>41848.199999999997</v>
      </c>
      <c r="AF464" s="438">
        <f t="shared" si="97"/>
        <v>42173.3</v>
      </c>
      <c r="AG464" s="19"/>
      <c r="AH464" s="19"/>
      <c r="AI464" s="113"/>
    </row>
    <row r="465" spans="1:35" s="77" customFormat="1" x14ac:dyDescent="0.25">
      <c r="A465" s="14"/>
      <c r="B465" s="63"/>
      <c r="C465" s="64"/>
      <c r="D465" s="64"/>
      <c r="E465" s="12"/>
      <c r="F465" s="12"/>
      <c r="G465" s="65"/>
      <c r="H465" s="65"/>
      <c r="I465" s="65"/>
      <c r="J465" s="65"/>
      <c r="K465" s="65"/>
      <c r="L465" s="58"/>
      <c r="M465" s="65"/>
      <c r="N465" s="58"/>
      <c r="O465" s="71"/>
      <c r="P465" s="65"/>
      <c r="Q465" s="66"/>
      <c r="R465" s="16"/>
      <c r="S465" s="16"/>
      <c r="T465" s="16"/>
      <c r="U465" s="16"/>
      <c r="V465" s="16"/>
      <c r="W465" s="16"/>
      <c r="X465" s="294" t="s">
        <v>60</v>
      </c>
      <c r="Y465" s="295" t="s">
        <v>62</v>
      </c>
      <c r="Z465" s="296" t="s">
        <v>15</v>
      </c>
      <c r="AA465" s="296" t="s">
        <v>28</v>
      </c>
      <c r="AB465" s="348" t="s">
        <v>491</v>
      </c>
      <c r="AC465" s="297">
        <v>610</v>
      </c>
      <c r="AD465" s="459">
        <f>43843.8+7849.9</f>
        <v>51693.700000000004</v>
      </c>
      <c r="AE465" s="428">
        <v>41848.199999999997</v>
      </c>
      <c r="AF465" s="438">
        <v>42173.3</v>
      </c>
      <c r="AG465" s="19"/>
      <c r="AH465" s="19"/>
      <c r="AI465" s="113"/>
    </row>
    <row r="466" spans="1:35" s="77" customFormat="1" ht="49.5" customHeight="1" x14ac:dyDescent="0.25">
      <c r="A466" s="14"/>
      <c r="B466" s="63"/>
      <c r="C466" s="64"/>
      <c r="D466" s="64"/>
      <c r="E466" s="12"/>
      <c r="F466" s="12"/>
      <c r="G466" s="65"/>
      <c r="H466" s="65"/>
      <c r="I466" s="65"/>
      <c r="J466" s="65"/>
      <c r="K466" s="65"/>
      <c r="L466" s="58"/>
      <c r="M466" s="65"/>
      <c r="N466" s="58"/>
      <c r="O466" s="71"/>
      <c r="P466" s="65"/>
      <c r="Q466" s="66"/>
      <c r="R466" s="16"/>
      <c r="S466" s="16"/>
      <c r="T466" s="16"/>
      <c r="U466" s="16"/>
      <c r="V466" s="16"/>
      <c r="W466" s="16"/>
      <c r="X466" s="294" t="s">
        <v>789</v>
      </c>
      <c r="Y466" s="295" t="s">
        <v>62</v>
      </c>
      <c r="Z466" s="296" t="s">
        <v>15</v>
      </c>
      <c r="AA466" s="296" t="s">
        <v>28</v>
      </c>
      <c r="AB466" s="348" t="s">
        <v>792</v>
      </c>
      <c r="AC466" s="297"/>
      <c r="AD466" s="459">
        <f t="shared" ref="AD466:AF468" si="98">AD467</f>
        <v>5995.3</v>
      </c>
      <c r="AE466" s="459">
        <f t="shared" si="98"/>
        <v>0</v>
      </c>
      <c r="AF466" s="459">
        <f t="shared" si="98"/>
        <v>0</v>
      </c>
      <c r="AG466" s="19"/>
      <c r="AH466" s="19"/>
      <c r="AI466" s="113"/>
    </row>
    <row r="467" spans="1:35" s="77" customFormat="1" ht="25.5" customHeight="1" x14ac:dyDescent="0.25">
      <c r="A467" s="14"/>
      <c r="B467" s="63"/>
      <c r="C467" s="64"/>
      <c r="D467" s="64"/>
      <c r="E467" s="12"/>
      <c r="F467" s="12"/>
      <c r="G467" s="65"/>
      <c r="H467" s="65"/>
      <c r="I467" s="65"/>
      <c r="J467" s="65"/>
      <c r="K467" s="65"/>
      <c r="L467" s="58"/>
      <c r="M467" s="65"/>
      <c r="N467" s="58"/>
      <c r="O467" s="71"/>
      <c r="P467" s="65"/>
      <c r="Q467" s="66"/>
      <c r="R467" s="16"/>
      <c r="S467" s="16"/>
      <c r="T467" s="16"/>
      <c r="U467" s="16"/>
      <c r="V467" s="16"/>
      <c r="W467" s="16"/>
      <c r="X467" s="294" t="s">
        <v>790</v>
      </c>
      <c r="Y467" s="295" t="s">
        <v>62</v>
      </c>
      <c r="Z467" s="296" t="s">
        <v>15</v>
      </c>
      <c r="AA467" s="296" t="s">
        <v>28</v>
      </c>
      <c r="AB467" s="348" t="s">
        <v>791</v>
      </c>
      <c r="AC467" s="297"/>
      <c r="AD467" s="459">
        <f t="shared" si="98"/>
        <v>5995.3</v>
      </c>
      <c r="AE467" s="459">
        <f t="shared" si="98"/>
        <v>0</v>
      </c>
      <c r="AF467" s="459">
        <f t="shared" si="98"/>
        <v>0</v>
      </c>
      <c r="AG467" s="19"/>
      <c r="AH467" s="19"/>
      <c r="AI467" s="113"/>
    </row>
    <row r="468" spans="1:35" s="77" customFormat="1" ht="31.5" x14ac:dyDescent="0.25">
      <c r="A468" s="14"/>
      <c r="B468" s="63"/>
      <c r="C468" s="64"/>
      <c r="D468" s="64"/>
      <c r="E468" s="12"/>
      <c r="F468" s="12"/>
      <c r="G468" s="65"/>
      <c r="H468" s="65"/>
      <c r="I468" s="65"/>
      <c r="J468" s="65"/>
      <c r="K468" s="65"/>
      <c r="L468" s="58"/>
      <c r="M468" s="65"/>
      <c r="N468" s="58"/>
      <c r="O468" s="71"/>
      <c r="P468" s="65"/>
      <c r="Q468" s="66"/>
      <c r="R468" s="16"/>
      <c r="S468" s="16"/>
      <c r="T468" s="16"/>
      <c r="U468" s="16"/>
      <c r="V468" s="16"/>
      <c r="W468" s="16"/>
      <c r="X468" s="294" t="s">
        <v>59</v>
      </c>
      <c r="Y468" s="295" t="s">
        <v>62</v>
      </c>
      <c r="Z468" s="296" t="s">
        <v>15</v>
      </c>
      <c r="AA468" s="296" t="s">
        <v>28</v>
      </c>
      <c r="AB468" s="348" t="s">
        <v>791</v>
      </c>
      <c r="AC468" s="297">
        <v>600</v>
      </c>
      <c r="AD468" s="459">
        <f t="shared" si="98"/>
        <v>5995.3</v>
      </c>
      <c r="AE468" s="459">
        <f t="shared" si="98"/>
        <v>0</v>
      </c>
      <c r="AF468" s="459">
        <f t="shared" si="98"/>
        <v>0</v>
      </c>
      <c r="AG468" s="19"/>
      <c r="AH468" s="19"/>
      <c r="AI468" s="113"/>
    </row>
    <row r="469" spans="1:35" s="77" customFormat="1" ht="21.75" customHeight="1" x14ac:dyDescent="0.25">
      <c r="A469" s="14"/>
      <c r="B469" s="63"/>
      <c r="C469" s="64"/>
      <c r="D469" s="64"/>
      <c r="E469" s="12"/>
      <c r="F469" s="12"/>
      <c r="G469" s="65"/>
      <c r="H469" s="65"/>
      <c r="I469" s="65"/>
      <c r="J469" s="65"/>
      <c r="K469" s="65"/>
      <c r="L469" s="58"/>
      <c r="M469" s="65"/>
      <c r="N469" s="58"/>
      <c r="O469" s="71"/>
      <c r="P469" s="65"/>
      <c r="Q469" s="66"/>
      <c r="R469" s="16"/>
      <c r="S469" s="16"/>
      <c r="T469" s="16"/>
      <c r="U469" s="16"/>
      <c r="V469" s="16"/>
      <c r="W469" s="16"/>
      <c r="X469" s="294" t="s">
        <v>60</v>
      </c>
      <c r="Y469" s="295" t="s">
        <v>62</v>
      </c>
      <c r="Z469" s="296" t="s">
        <v>15</v>
      </c>
      <c r="AA469" s="296" t="s">
        <v>28</v>
      </c>
      <c r="AB469" s="348" t="s">
        <v>791</v>
      </c>
      <c r="AC469" s="297">
        <v>610</v>
      </c>
      <c r="AD469" s="459">
        <f>6000-4.7</f>
        <v>5995.3</v>
      </c>
      <c r="AE469" s="428">
        <v>0</v>
      </c>
      <c r="AF469" s="438">
        <v>0</v>
      </c>
      <c r="AG469" s="19"/>
      <c r="AH469" s="19"/>
      <c r="AI469" s="113"/>
    </row>
    <row r="470" spans="1:35" s="77" customFormat="1" ht="31.5" x14ac:dyDescent="0.25">
      <c r="A470" s="14"/>
      <c r="B470" s="63"/>
      <c r="C470" s="64"/>
      <c r="D470" s="64"/>
      <c r="E470" s="12"/>
      <c r="F470" s="12"/>
      <c r="G470" s="65"/>
      <c r="H470" s="65"/>
      <c r="I470" s="65"/>
      <c r="J470" s="65"/>
      <c r="K470" s="65"/>
      <c r="L470" s="58"/>
      <c r="M470" s="65"/>
      <c r="N470" s="58"/>
      <c r="O470" s="71"/>
      <c r="P470" s="65"/>
      <c r="Q470" s="66"/>
      <c r="R470" s="16"/>
      <c r="S470" s="16"/>
      <c r="T470" s="16"/>
      <c r="U470" s="16"/>
      <c r="V470" s="16"/>
      <c r="W470" s="16"/>
      <c r="X470" s="294" t="s">
        <v>624</v>
      </c>
      <c r="Y470" s="295" t="s">
        <v>62</v>
      </c>
      <c r="Z470" s="296" t="s">
        <v>15</v>
      </c>
      <c r="AA470" s="296" t="s">
        <v>28</v>
      </c>
      <c r="AB470" s="348" t="s">
        <v>625</v>
      </c>
      <c r="AC470" s="297"/>
      <c r="AD470" s="459">
        <f>AD474+AD471</f>
        <v>8290.5</v>
      </c>
      <c r="AE470" s="428">
        <f>AE474</f>
        <v>345.5</v>
      </c>
      <c r="AF470" s="438">
        <f>AF474</f>
        <v>0</v>
      </c>
      <c r="AG470" s="19"/>
      <c r="AH470" s="19"/>
      <c r="AI470" s="113"/>
    </row>
    <row r="471" spans="1:35" s="77" customFormat="1" ht="31.5" x14ac:dyDescent="0.25">
      <c r="A471" s="14"/>
      <c r="B471" s="63"/>
      <c r="C471" s="64"/>
      <c r="D471" s="64"/>
      <c r="E471" s="12"/>
      <c r="F471" s="12"/>
      <c r="G471" s="65"/>
      <c r="H471" s="65"/>
      <c r="I471" s="65"/>
      <c r="J471" s="65"/>
      <c r="K471" s="65"/>
      <c r="L471" s="58"/>
      <c r="M471" s="65"/>
      <c r="N471" s="58"/>
      <c r="O471" s="71"/>
      <c r="P471" s="65"/>
      <c r="Q471" s="66"/>
      <c r="R471" s="16"/>
      <c r="S471" s="16"/>
      <c r="T471" s="16"/>
      <c r="U471" s="16"/>
      <c r="V471" s="16"/>
      <c r="W471" s="16"/>
      <c r="X471" s="450" t="s">
        <v>893</v>
      </c>
      <c r="Y471" s="295" t="s">
        <v>62</v>
      </c>
      <c r="Z471" s="296" t="s">
        <v>15</v>
      </c>
      <c r="AA471" s="296" t="s">
        <v>28</v>
      </c>
      <c r="AB471" s="348" t="s">
        <v>901</v>
      </c>
      <c r="AC471" s="297"/>
      <c r="AD471" s="459">
        <f>AD472</f>
        <v>6850</v>
      </c>
      <c r="AE471" s="459">
        <f t="shared" ref="AE471:AF471" si="99">AE472</f>
        <v>0</v>
      </c>
      <c r="AF471" s="459">
        <f t="shared" si="99"/>
        <v>0</v>
      </c>
      <c r="AG471" s="19"/>
      <c r="AH471" s="19"/>
      <c r="AI471" s="113"/>
    </row>
    <row r="472" spans="1:35" s="77" customFormat="1" ht="31.5" x14ac:dyDescent="0.25">
      <c r="A472" s="14"/>
      <c r="B472" s="63"/>
      <c r="C472" s="64"/>
      <c r="D472" s="64"/>
      <c r="E472" s="12"/>
      <c r="F472" s="12"/>
      <c r="G472" s="65"/>
      <c r="H472" s="65"/>
      <c r="I472" s="65"/>
      <c r="J472" s="65"/>
      <c r="K472" s="65"/>
      <c r="L472" s="58"/>
      <c r="M472" s="65"/>
      <c r="N472" s="58"/>
      <c r="O472" s="71"/>
      <c r="P472" s="65"/>
      <c r="Q472" s="66"/>
      <c r="R472" s="16"/>
      <c r="S472" s="16"/>
      <c r="T472" s="16"/>
      <c r="U472" s="16"/>
      <c r="V472" s="16"/>
      <c r="W472" s="16"/>
      <c r="X472" s="294" t="s">
        <v>59</v>
      </c>
      <c r="Y472" s="295" t="s">
        <v>62</v>
      </c>
      <c r="Z472" s="296" t="s">
        <v>15</v>
      </c>
      <c r="AA472" s="296" t="s">
        <v>28</v>
      </c>
      <c r="AB472" s="348" t="s">
        <v>901</v>
      </c>
      <c r="AC472" s="297">
        <v>600</v>
      </c>
      <c r="AD472" s="459">
        <f>AD473</f>
        <v>6850</v>
      </c>
      <c r="AE472" s="459">
        <f t="shared" ref="AE472:AF472" si="100">AE473</f>
        <v>0</v>
      </c>
      <c r="AF472" s="459">
        <f t="shared" si="100"/>
        <v>0</v>
      </c>
      <c r="AG472" s="19"/>
      <c r="AH472" s="19"/>
      <c r="AI472" s="113"/>
    </row>
    <row r="473" spans="1:35" s="77" customFormat="1" x14ac:dyDescent="0.25">
      <c r="A473" s="14"/>
      <c r="B473" s="63"/>
      <c r="C473" s="64"/>
      <c r="D473" s="64"/>
      <c r="E473" s="12"/>
      <c r="F473" s="12"/>
      <c r="G473" s="65"/>
      <c r="H473" s="65"/>
      <c r="I473" s="65"/>
      <c r="J473" s="65"/>
      <c r="K473" s="65"/>
      <c r="L473" s="58"/>
      <c r="M473" s="65"/>
      <c r="N473" s="58"/>
      <c r="O473" s="71"/>
      <c r="P473" s="65"/>
      <c r="Q473" s="66"/>
      <c r="R473" s="16"/>
      <c r="S473" s="16"/>
      <c r="T473" s="16"/>
      <c r="U473" s="16"/>
      <c r="V473" s="16"/>
      <c r="W473" s="16"/>
      <c r="X473" s="294" t="s">
        <v>60</v>
      </c>
      <c r="Y473" s="295" t="s">
        <v>62</v>
      </c>
      <c r="Z473" s="296" t="s">
        <v>15</v>
      </c>
      <c r="AA473" s="296" t="s">
        <v>28</v>
      </c>
      <c r="AB473" s="348" t="s">
        <v>901</v>
      </c>
      <c r="AC473" s="297">
        <v>610</v>
      </c>
      <c r="AD473" s="459">
        <v>6850</v>
      </c>
      <c r="AE473" s="428">
        <v>0</v>
      </c>
      <c r="AF473" s="438">
        <v>0</v>
      </c>
      <c r="AG473" s="19"/>
      <c r="AH473" s="19"/>
      <c r="AI473" s="113"/>
    </row>
    <row r="474" spans="1:35" s="77" customFormat="1" ht="47.25" x14ac:dyDescent="0.25">
      <c r="A474" s="14"/>
      <c r="B474" s="63"/>
      <c r="C474" s="64"/>
      <c r="D474" s="64"/>
      <c r="E474" s="12"/>
      <c r="F474" s="12"/>
      <c r="G474" s="65"/>
      <c r="H474" s="65"/>
      <c r="I474" s="65"/>
      <c r="J474" s="65"/>
      <c r="K474" s="65"/>
      <c r="L474" s="58"/>
      <c r="M474" s="65"/>
      <c r="N474" s="58"/>
      <c r="O474" s="71"/>
      <c r="P474" s="65"/>
      <c r="Q474" s="66"/>
      <c r="R474" s="16"/>
      <c r="S474" s="16"/>
      <c r="T474" s="16"/>
      <c r="U474" s="16"/>
      <c r="V474" s="16"/>
      <c r="W474" s="16"/>
      <c r="X474" s="294" t="s">
        <v>626</v>
      </c>
      <c r="Y474" s="295" t="s">
        <v>62</v>
      </c>
      <c r="Z474" s="296" t="s">
        <v>15</v>
      </c>
      <c r="AA474" s="296" t="s">
        <v>28</v>
      </c>
      <c r="AB474" s="348" t="s">
        <v>627</v>
      </c>
      <c r="AC474" s="297"/>
      <c r="AD474" s="459">
        <f>AD475</f>
        <v>1440.5</v>
      </c>
      <c r="AE474" s="428">
        <f t="shared" ref="AE474:AF475" si="101">AE475</f>
        <v>345.5</v>
      </c>
      <c r="AF474" s="438">
        <f t="shared" si="101"/>
        <v>0</v>
      </c>
      <c r="AG474" s="19"/>
      <c r="AH474" s="19"/>
      <c r="AI474" s="113"/>
    </row>
    <row r="475" spans="1:35" s="77" customFormat="1" ht="31.5" x14ac:dyDescent="0.25">
      <c r="A475" s="14"/>
      <c r="B475" s="63"/>
      <c r="C475" s="64"/>
      <c r="D475" s="64"/>
      <c r="E475" s="12"/>
      <c r="F475" s="12"/>
      <c r="G475" s="65"/>
      <c r="H475" s="65"/>
      <c r="I475" s="65"/>
      <c r="J475" s="65"/>
      <c r="K475" s="65"/>
      <c r="L475" s="58"/>
      <c r="M475" s="65"/>
      <c r="N475" s="58"/>
      <c r="O475" s="71"/>
      <c r="P475" s="65"/>
      <c r="Q475" s="66"/>
      <c r="R475" s="16"/>
      <c r="S475" s="16"/>
      <c r="T475" s="16"/>
      <c r="U475" s="16"/>
      <c r="V475" s="16"/>
      <c r="W475" s="16"/>
      <c r="X475" s="294" t="s">
        <v>59</v>
      </c>
      <c r="Y475" s="295" t="s">
        <v>62</v>
      </c>
      <c r="Z475" s="296" t="s">
        <v>15</v>
      </c>
      <c r="AA475" s="296" t="s">
        <v>28</v>
      </c>
      <c r="AB475" s="348" t="s">
        <v>627</v>
      </c>
      <c r="AC475" s="297">
        <v>600</v>
      </c>
      <c r="AD475" s="459">
        <f>AD476</f>
        <v>1440.5</v>
      </c>
      <c r="AE475" s="428">
        <f t="shared" si="101"/>
        <v>345.5</v>
      </c>
      <c r="AF475" s="438">
        <f t="shared" si="101"/>
        <v>0</v>
      </c>
      <c r="AG475" s="19"/>
      <c r="AH475" s="19"/>
      <c r="AI475" s="113"/>
    </row>
    <row r="476" spans="1:35" s="77" customFormat="1" x14ac:dyDescent="0.25">
      <c r="A476" s="14"/>
      <c r="B476" s="63"/>
      <c r="C476" s="64"/>
      <c r="D476" s="64"/>
      <c r="E476" s="12"/>
      <c r="F476" s="12"/>
      <c r="G476" s="65"/>
      <c r="H476" s="65"/>
      <c r="I476" s="65"/>
      <c r="J476" s="65"/>
      <c r="K476" s="65"/>
      <c r="L476" s="58"/>
      <c r="M476" s="65"/>
      <c r="N476" s="58"/>
      <c r="O476" s="71"/>
      <c r="P476" s="65"/>
      <c r="Q476" s="66"/>
      <c r="R476" s="16"/>
      <c r="S476" s="16"/>
      <c r="T476" s="16"/>
      <c r="U476" s="16"/>
      <c r="V476" s="16"/>
      <c r="W476" s="16"/>
      <c r="X476" s="294" t="s">
        <v>60</v>
      </c>
      <c r="Y476" s="295" t="s">
        <v>62</v>
      </c>
      <c r="Z476" s="296" t="s">
        <v>15</v>
      </c>
      <c r="AA476" s="296" t="s">
        <v>28</v>
      </c>
      <c r="AB476" s="348" t="s">
        <v>627</v>
      </c>
      <c r="AC476" s="297">
        <v>610</v>
      </c>
      <c r="AD476" s="459">
        <f>404.1+1036.4</f>
        <v>1440.5</v>
      </c>
      <c r="AE476" s="428">
        <v>345.5</v>
      </c>
      <c r="AF476" s="438">
        <v>0</v>
      </c>
      <c r="AG476" s="19"/>
      <c r="AH476" s="19"/>
      <c r="AI476" s="113"/>
    </row>
    <row r="477" spans="1:35" s="77" customFormat="1" x14ac:dyDescent="0.25">
      <c r="A477" s="14"/>
      <c r="B477" s="63"/>
      <c r="C477" s="64"/>
      <c r="D477" s="64"/>
      <c r="E477" s="12"/>
      <c r="F477" s="12"/>
      <c r="G477" s="65"/>
      <c r="H477" s="65"/>
      <c r="I477" s="65"/>
      <c r="J477" s="65"/>
      <c r="K477" s="65"/>
      <c r="L477" s="58"/>
      <c r="M477" s="65"/>
      <c r="N477" s="58"/>
      <c r="O477" s="71"/>
      <c r="P477" s="65"/>
      <c r="Q477" s="66"/>
      <c r="R477" s="16"/>
      <c r="S477" s="16"/>
      <c r="T477" s="16"/>
      <c r="U477" s="16"/>
      <c r="V477" s="16"/>
      <c r="W477" s="16"/>
      <c r="X477" s="185" t="s">
        <v>240</v>
      </c>
      <c r="Y477" s="295" t="s">
        <v>62</v>
      </c>
      <c r="Z477" s="1" t="s">
        <v>15</v>
      </c>
      <c r="AA477" s="1" t="s">
        <v>28</v>
      </c>
      <c r="AB477" s="272" t="s">
        <v>241</v>
      </c>
      <c r="AC477" s="297"/>
      <c r="AD477" s="459">
        <f t="shared" ref="AD477:AD482" si="102">AD478</f>
        <v>18637.3</v>
      </c>
      <c r="AE477" s="428">
        <f t="shared" ref="AE477:AF482" si="103">AE478</f>
        <v>21472</v>
      </c>
      <c r="AF477" s="438">
        <f t="shared" si="103"/>
        <v>22352</v>
      </c>
      <c r="AG477" s="19"/>
      <c r="AH477" s="19"/>
      <c r="AI477" s="113"/>
    </row>
    <row r="478" spans="1:35" s="77" customFormat="1" ht="31.5" x14ac:dyDescent="0.25">
      <c r="A478" s="14"/>
      <c r="B478" s="63"/>
      <c r="C478" s="64"/>
      <c r="D478" s="64"/>
      <c r="E478" s="12"/>
      <c r="F478" s="12"/>
      <c r="G478" s="65"/>
      <c r="H478" s="65"/>
      <c r="I478" s="65"/>
      <c r="J478" s="65"/>
      <c r="K478" s="65"/>
      <c r="L478" s="58"/>
      <c r="M478" s="65"/>
      <c r="N478" s="58"/>
      <c r="O478" s="71"/>
      <c r="P478" s="65"/>
      <c r="Q478" s="66"/>
      <c r="R478" s="16"/>
      <c r="S478" s="16"/>
      <c r="T478" s="16"/>
      <c r="U478" s="16"/>
      <c r="V478" s="16"/>
      <c r="W478" s="16"/>
      <c r="X478" s="199" t="s">
        <v>535</v>
      </c>
      <c r="Y478" s="9" t="s">
        <v>62</v>
      </c>
      <c r="Z478" s="1" t="s">
        <v>15</v>
      </c>
      <c r="AA478" s="1" t="s">
        <v>28</v>
      </c>
      <c r="AB478" s="272" t="s">
        <v>242</v>
      </c>
      <c r="AC478" s="297"/>
      <c r="AD478" s="459">
        <f t="shared" si="102"/>
        <v>18637.3</v>
      </c>
      <c r="AE478" s="428">
        <f t="shared" si="103"/>
        <v>21472</v>
      </c>
      <c r="AF478" s="438">
        <f t="shared" si="103"/>
        <v>22352</v>
      </c>
      <c r="AG478" s="19"/>
      <c r="AH478" s="19"/>
      <c r="AI478" s="113"/>
    </row>
    <row r="479" spans="1:35" s="77" customFormat="1" ht="31.5" x14ac:dyDescent="0.25">
      <c r="A479" s="14"/>
      <c r="B479" s="63"/>
      <c r="C479" s="64"/>
      <c r="D479" s="64"/>
      <c r="E479" s="12"/>
      <c r="F479" s="12"/>
      <c r="G479" s="65"/>
      <c r="H479" s="65"/>
      <c r="I479" s="65"/>
      <c r="J479" s="65"/>
      <c r="K479" s="65"/>
      <c r="L479" s="58"/>
      <c r="M479" s="65"/>
      <c r="N479" s="58"/>
      <c r="O479" s="71"/>
      <c r="P479" s="65"/>
      <c r="Q479" s="66"/>
      <c r="R479" s="16"/>
      <c r="S479" s="16"/>
      <c r="T479" s="16"/>
      <c r="U479" s="16"/>
      <c r="V479" s="16"/>
      <c r="W479" s="16"/>
      <c r="X479" s="184" t="s">
        <v>536</v>
      </c>
      <c r="Y479" s="9" t="s">
        <v>62</v>
      </c>
      <c r="Z479" s="1" t="s">
        <v>15</v>
      </c>
      <c r="AA479" s="1" t="s">
        <v>28</v>
      </c>
      <c r="AB479" s="272" t="s">
        <v>243</v>
      </c>
      <c r="AC479" s="297"/>
      <c r="AD479" s="459">
        <f t="shared" si="102"/>
        <v>18637.3</v>
      </c>
      <c r="AE479" s="428">
        <f t="shared" si="103"/>
        <v>21472</v>
      </c>
      <c r="AF479" s="438">
        <f t="shared" si="103"/>
        <v>22352</v>
      </c>
      <c r="AG479" s="19"/>
      <c r="AH479" s="19"/>
      <c r="AI479" s="113"/>
    </row>
    <row r="480" spans="1:35" s="77" customFormat="1" x14ac:dyDescent="0.25">
      <c r="A480" s="14"/>
      <c r="B480" s="63"/>
      <c r="C480" s="64"/>
      <c r="D480" s="64"/>
      <c r="E480" s="12"/>
      <c r="F480" s="12"/>
      <c r="G480" s="65"/>
      <c r="H480" s="65"/>
      <c r="I480" s="65"/>
      <c r="J480" s="65"/>
      <c r="K480" s="65"/>
      <c r="L480" s="58"/>
      <c r="M480" s="65"/>
      <c r="N480" s="58"/>
      <c r="O480" s="71"/>
      <c r="P480" s="65"/>
      <c r="Q480" s="66"/>
      <c r="R480" s="16"/>
      <c r="S480" s="16"/>
      <c r="T480" s="16"/>
      <c r="U480" s="16"/>
      <c r="V480" s="16"/>
      <c r="W480" s="16"/>
      <c r="X480" s="184" t="s">
        <v>621</v>
      </c>
      <c r="Y480" s="9" t="s">
        <v>62</v>
      </c>
      <c r="Z480" s="1" t="s">
        <v>15</v>
      </c>
      <c r="AA480" s="1" t="s">
        <v>28</v>
      </c>
      <c r="AB480" s="272" t="s">
        <v>622</v>
      </c>
      <c r="AC480" s="297"/>
      <c r="AD480" s="459">
        <f t="shared" si="102"/>
        <v>18637.3</v>
      </c>
      <c r="AE480" s="428">
        <f t="shared" si="103"/>
        <v>21472</v>
      </c>
      <c r="AF480" s="438">
        <f t="shared" si="103"/>
        <v>22352</v>
      </c>
      <c r="AG480" s="19"/>
      <c r="AH480" s="19"/>
      <c r="AI480" s="113"/>
    </row>
    <row r="481" spans="1:35" s="77" customFormat="1" x14ac:dyDescent="0.25">
      <c r="A481" s="14"/>
      <c r="B481" s="63"/>
      <c r="C481" s="64"/>
      <c r="D481" s="64"/>
      <c r="E481" s="12"/>
      <c r="F481" s="12"/>
      <c r="G481" s="65"/>
      <c r="H481" s="65"/>
      <c r="I481" s="65"/>
      <c r="J481" s="65"/>
      <c r="K481" s="65"/>
      <c r="L481" s="58"/>
      <c r="M481" s="65"/>
      <c r="N481" s="58"/>
      <c r="O481" s="71"/>
      <c r="P481" s="65"/>
      <c r="Q481" s="66"/>
      <c r="R481" s="16"/>
      <c r="S481" s="16"/>
      <c r="T481" s="16"/>
      <c r="U481" s="16"/>
      <c r="V481" s="16"/>
      <c r="W481" s="16"/>
      <c r="X481" s="184" t="s">
        <v>707</v>
      </c>
      <c r="Y481" s="9" t="s">
        <v>62</v>
      </c>
      <c r="Z481" s="1" t="s">
        <v>15</v>
      </c>
      <c r="AA481" s="1" t="s">
        <v>28</v>
      </c>
      <c r="AB481" s="272" t="s">
        <v>679</v>
      </c>
      <c r="AC481" s="331"/>
      <c r="AD481" s="459">
        <f t="shared" si="102"/>
        <v>18637.3</v>
      </c>
      <c r="AE481" s="428">
        <f t="shared" si="103"/>
        <v>21472</v>
      </c>
      <c r="AF481" s="438">
        <f t="shared" si="103"/>
        <v>22352</v>
      </c>
      <c r="AG481" s="19"/>
      <c r="AH481" s="19"/>
      <c r="AI481" s="113"/>
    </row>
    <row r="482" spans="1:35" s="77" customFormat="1" ht="31.5" x14ac:dyDescent="0.25">
      <c r="A482" s="14"/>
      <c r="B482" s="63"/>
      <c r="C482" s="64"/>
      <c r="D482" s="64"/>
      <c r="E482" s="12"/>
      <c r="F482" s="12"/>
      <c r="G482" s="65"/>
      <c r="H482" s="65"/>
      <c r="I482" s="65"/>
      <c r="J482" s="65"/>
      <c r="K482" s="65"/>
      <c r="L482" s="58"/>
      <c r="M482" s="65"/>
      <c r="N482" s="58"/>
      <c r="O482" s="71"/>
      <c r="P482" s="65"/>
      <c r="Q482" s="66"/>
      <c r="R482" s="16"/>
      <c r="S482" s="16"/>
      <c r="T482" s="16"/>
      <c r="U482" s="16"/>
      <c r="V482" s="16"/>
      <c r="W482" s="16"/>
      <c r="X482" s="255" t="s">
        <v>59</v>
      </c>
      <c r="Y482" s="9" t="s">
        <v>62</v>
      </c>
      <c r="Z482" s="1" t="s">
        <v>15</v>
      </c>
      <c r="AA482" s="1" t="s">
        <v>28</v>
      </c>
      <c r="AB482" s="272" t="s">
        <v>679</v>
      </c>
      <c r="AC482" s="331">
        <v>600</v>
      </c>
      <c r="AD482" s="459">
        <f t="shared" si="102"/>
        <v>18637.3</v>
      </c>
      <c r="AE482" s="428">
        <f t="shared" si="103"/>
        <v>21472</v>
      </c>
      <c r="AF482" s="438">
        <f t="shared" si="103"/>
        <v>22352</v>
      </c>
      <c r="AG482" s="19"/>
      <c r="AH482" s="19"/>
      <c r="AI482" s="113"/>
    </row>
    <row r="483" spans="1:35" s="77" customFormat="1" x14ac:dyDescent="0.25">
      <c r="A483" s="14"/>
      <c r="B483" s="63"/>
      <c r="C483" s="64"/>
      <c r="D483" s="64"/>
      <c r="E483" s="12"/>
      <c r="F483" s="12"/>
      <c r="G483" s="65"/>
      <c r="H483" s="65"/>
      <c r="I483" s="65"/>
      <c r="J483" s="65"/>
      <c r="K483" s="65"/>
      <c r="L483" s="58"/>
      <c r="M483" s="65"/>
      <c r="N483" s="58"/>
      <c r="O483" s="71"/>
      <c r="P483" s="65"/>
      <c r="Q483" s="66"/>
      <c r="R483" s="16"/>
      <c r="S483" s="16"/>
      <c r="T483" s="16"/>
      <c r="U483" s="16"/>
      <c r="V483" s="16"/>
      <c r="W483" s="16"/>
      <c r="X483" s="255" t="s">
        <v>60</v>
      </c>
      <c r="Y483" s="9" t="s">
        <v>62</v>
      </c>
      <c r="Z483" s="1" t="s">
        <v>15</v>
      </c>
      <c r="AA483" s="1" t="s">
        <v>28</v>
      </c>
      <c r="AB483" s="272" t="s">
        <v>679</v>
      </c>
      <c r="AC483" s="331">
        <v>610</v>
      </c>
      <c r="AD483" s="459">
        <f>20666-2028.7</f>
        <v>18637.3</v>
      </c>
      <c r="AE483" s="428">
        <v>21472</v>
      </c>
      <c r="AF483" s="438">
        <v>22352</v>
      </c>
      <c r="AG483" s="19"/>
      <c r="AH483" s="19"/>
      <c r="AI483" s="113"/>
    </row>
    <row r="484" spans="1:35" s="77" customFormat="1" x14ac:dyDescent="0.25">
      <c r="A484" s="14"/>
      <c r="B484" s="63"/>
      <c r="C484" s="64"/>
      <c r="D484" s="64"/>
      <c r="E484" s="12"/>
      <c r="F484" s="12"/>
      <c r="G484" s="65"/>
      <c r="H484" s="65"/>
      <c r="I484" s="65"/>
      <c r="J484" s="65"/>
      <c r="K484" s="65"/>
      <c r="L484" s="58"/>
      <c r="M484" s="65"/>
      <c r="N484" s="58"/>
      <c r="O484" s="71"/>
      <c r="P484" s="65"/>
      <c r="Q484" s="66"/>
      <c r="R484" s="16"/>
      <c r="S484" s="16"/>
      <c r="T484" s="16"/>
      <c r="U484" s="16"/>
      <c r="V484" s="16"/>
      <c r="W484" s="16"/>
      <c r="X484" s="294" t="s">
        <v>744</v>
      </c>
      <c r="Y484" s="9" t="s">
        <v>62</v>
      </c>
      <c r="Z484" s="296" t="s">
        <v>21</v>
      </c>
      <c r="AA484" s="296"/>
      <c r="AB484" s="348"/>
      <c r="AC484" s="297"/>
      <c r="AD484" s="459">
        <f t="shared" ref="AD484:AF490" si="104">AD485</f>
        <v>650</v>
      </c>
      <c r="AE484" s="428">
        <f t="shared" si="104"/>
        <v>0</v>
      </c>
      <c r="AF484" s="438">
        <f t="shared" si="104"/>
        <v>0</v>
      </c>
      <c r="AG484" s="19"/>
      <c r="AH484" s="19"/>
      <c r="AI484" s="113"/>
    </row>
    <row r="485" spans="1:35" s="77" customFormat="1" x14ac:dyDescent="0.25">
      <c r="A485" s="14"/>
      <c r="B485" s="63"/>
      <c r="C485" s="64"/>
      <c r="D485" s="64"/>
      <c r="E485" s="12"/>
      <c r="F485" s="12"/>
      <c r="G485" s="65"/>
      <c r="H485" s="65"/>
      <c r="I485" s="65"/>
      <c r="J485" s="65"/>
      <c r="K485" s="65"/>
      <c r="L485" s="58"/>
      <c r="M485" s="65"/>
      <c r="N485" s="58"/>
      <c r="O485" s="71"/>
      <c r="P485" s="65"/>
      <c r="Q485" s="66"/>
      <c r="R485" s="16"/>
      <c r="S485" s="16"/>
      <c r="T485" s="16"/>
      <c r="U485" s="16"/>
      <c r="V485" s="16"/>
      <c r="W485" s="16"/>
      <c r="X485" s="294" t="s">
        <v>745</v>
      </c>
      <c r="Y485" s="295" t="s">
        <v>62</v>
      </c>
      <c r="Z485" s="296" t="s">
        <v>21</v>
      </c>
      <c r="AA485" s="296" t="s">
        <v>21</v>
      </c>
      <c r="AB485" s="348"/>
      <c r="AC485" s="297"/>
      <c r="AD485" s="459">
        <f t="shared" si="104"/>
        <v>650</v>
      </c>
      <c r="AE485" s="428">
        <f t="shared" si="104"/>
        <v>0</v>
      </c>
      <c r="AF485" s="438">
        <f t="shared" si="104"/>
        <v>0</v>
      </c>
      <c r="AG485" s="19"/>
      <c r="AH485" s="19"/>
      <c r="AI485" s="113"/>
    </row>
    <row r="486" spans="1:35" s="77" customFormat="1" x14ac:dyDescent="0.25">
      <c r="A486" s="14"/>
      <c r="B486" s="63"/>
      <c r="C486" s="64"/>
      <c r="D486" s="64"/>
      <c r="E486" s="12"/>
      <c r="F486" s="12"/>
      <c r="G486" s="65"/>
      <c r="H486" s="65"/>
      <c r="I486" s="65"/>
      <c r="J486" s="65"/>
      <c r="K486" s="65"/>
      <c r="L486" s="58"/>
      <c r="M486" s="65"/>
      <c r="N486" s="58"/>
      <c r="O486" s="71"/>
      <c r="P486" s="65"/>
      <c r="Q486" s="66"/>
      <c r="R486" s="16"/>
      <c r="S486" s="16"/>
      <c r="T486" s="16"/>
      <c r="U486" s="16"/>
      <c r="V486" s="16"/>
      <c r="W486" s="16"/>
      <c r="X486" s="294" t="s">
        <v>746</v>
      </c>
      <c r="Y486" s="295" t="s">
        <v>62</v>
      </c>
      <c r="Z486" s="296" t="s">
        <v>21</v>
      </c>
      <c r="AA486" s="296" t="s">
        <v>21</v>
      </c>
      <c r="AB486" s="348" t="s">
        <v>747</v>
      </c>
      <c r="AC486" s="297"/>
      <c r="AD486" s="459">
        <f t="shared" si="104"/>
        <v>650</v>
      </c>
      <c r="AE486" s="428">
        <f t="shared" si="104"/>
        <v>0</v>
      </c>
      <c r="AF486" s="438">
        <f t="shared" si="104"/>
        <v>0</v>
      </c>
      <c r="AG486" s="19"/>
      <c r="AH486" s="19"/>
      <c r="AI486" s="113"/>
    </row>
    <row r="487" spans="1:35" s="77" customFormat="1" x14ac:dyDescent="0.25">
      <c r="A487" s="14"/>
      <c r="B487" s="63"/>
      <c r="C487" s="64"/>
      <c r="D487" s="64"/>
      <c r="E487" s="12"/>
      <c r="F487" s="12"/>
      <c r="G487" s="65"/>
      <c r="H487" s="65"/>
      <c r="I487" s="65"/>
      <c r="J487" s="65"/>
      <c r="K487" s="65"/>
      <c r="L487" s="58"/>
      <c r="M487" s="65"/>
      <c r="N487" s="58"/>
      <c r="O487" s="71"/>
      <c r="P487" s="65"/>
      <c r="Q487" s="66"/>
      <c r="R487" s="16"/>
      <c r="S487" s="16"/>
      <c r="T487" s="16"/>
      <c r="U487" s="16"/>
      <c r="V487" s="16"/>
      <c r="W487" s="16"/>
      <c r="X487" s="294" t="s">
        <v>748</v>
      </c>
      <c r="Y487" s="295" t="s">
        <v>62</v>
      </c>
      <c r="Z487" s="296" t="s">
        <v>21</v>
      </c>
      <c r="AA487" s="296" t="s">
        <v>21</v>
      </c>
      <c r="AB487" s="348" t="s">
        <v>749</v>
      </c>
      <c r="AC487" s="297"/>
      <c r="AD487" s="459">
        <f t="shared" si="104"/>
        <v>650</v>
      </c>
      <c r="AE487" s="428">
        <f t="shared" si="104"/>
        <v>0</v>
      </c>
      <c r="AF487" s="438">
        <f t="shared" si="104"/>
        <v>0</v>
      </c>
      <c r="AG487" s="19"/>
      <c r="AH487" s="19"/>
      <c r="AI487" s="113"/>
    </row>
    <row r="488" spans="1:35" s="77" customFormat="1" ht="31.5" x14ac:dyDescent="0.25">
      <c r="A488" s="14"/>
      <c r="B488" s="63"/>
      <c r="C488" s="64"/>
      <c r="D488" s="64"/>
      <c r="E488" s="12"/>
      <c r="F488" s="12"/>
      <c r="G488" s="65"/>
      <c r="H488" s="65"/>
      <c r="I488" s="65"/>
      <c r="J488" s="65"/>
      <c r="K488" s="65"/>
      <c r="L488" s="58"/>
      <c r="M488" s="65"/>
      <c r="N488" s="58"/>
      <c r="O488" s="71"/>
      <c r="P488" s="65"/>
      <c r="Q488" s="66"/>
      <c r="R488" s="16"/>
      <c r="S488" s="16"/>
      <c r="T488" s="16"/>
      <c r="U488" s="16"/>
      <c r="V488" s="16"/>
      <c r="W488" s="16"/>
      <c r="X488" s="294" t="s">
        <v>750</v>
      </c>
      <c r="Y488" s="295" t="s">
        <v>62</v>
      </c>
      <c r="Z488" s="296" t="s">
        <v>21</v>
      </c>
      <c r="AA488" s="296" t="s">
        <v>21</v>
      </c>
      <c r="AB488" s="348" t="s">
        <v>751</v>
      </c>
      <c r="AC488" s="297"/>
      <c r="AD488" s="459">
        <f t="shared" si="104"/>
        <v>650</v>
      </c>
      <c r="AE488" s="428">
        <f t="shared" si="104"/>
        <v>0</v>
      </c>
      <c r="AF488" s="438">
        <f t="shared" si="104"/>
        <v>0</v>
      </c>
      <c r="AG488" s="19"/>
      <c r="AH488" s="19"/>
      <c r="AI488" s="113"/>
    </row>
    <row r="489" spans="1:35" s="77" customFormat="1" ht="51.75" customHeight="1" x14ac:dyDescent="0.25">
      <c r="A489" s="14"/>
      <c r="B489" s="63"/>
      <c r="C489" s="64"/>
      <c r="D489" s="64"/>
      <c r="E489" s="12"/>
      <c r="F489" s="12"/>
      <c r="G489" s="65"/>
      <c r="H489" s="65"/>
      <c r="I489" s="65"/>
      <c r="J489" s="65"/>
      <c r="K489" s="65"/>
      <c r="L489" s="58"/>
      <c r="M489" s="65"/>
      <c r="N489" s="58"/>
      <c r="O489" s="71"/>
      <c r="P489" s="65"/>
      <c r="Q489" s="66"/>
      <c r="R489" s="16"/>
      <c r="S489" s="16"/>
      <c r="T489" s="16"/>
      <c r="U489" s="16"/>
      <c r="V489" s="16"/>
      <c r="W489" s="16"/>
      <c r="X489" s="294" t="s">
        <v>753</v>
      </c>
      <c r="Y489" s="295" t="s">
        <v>62</v>
      </c>
      <c r="Z489" s="296" t="s">
        <v>21</v>
      </c>
      <c r="AA489" s="296" t="s">
        <v>21</v>
      </c>
      <c r="AB489" s="348" t="s">
        <v>752</v>
      </c>
      <c r="AC489" s="297"/>
      <c r="AD489" s="459">
        <f t="shared" si="104"/>
        <v>650</v>
      </c>
      <c r="AE489" s="428">
        <f t="shared" si="104"/>
        <v>0</v>
      </c>
      <c r="AF489" s="438">
        <f t="shared" si="104"/>
        <v>0</v>
      </c>
      <c r="AG489" s="19"/>
      <c r="AH489" s="19"/>
      <c r="AI489" s="113"/>
    </row>
    <row r="490" spans="1:35" s="77" customFormat="1" x14ac:dyDescent="0.25">
      <c r="A490" s="14"/>
      <c r="B490" s="63"/>
      <c r="C490" s="64"/>
      <c r="D490" s="64"/>
      <c r="E490" s="12"/>
      <c r="F490" s="12"/>
      <c r="G490" s="65"/>
      <c r="H490" s="65"/>
      <c r="I490" s="65"/>
      <c r="J490" s="65"/>
      <c r="K490" s="65"/>
      <c r="L490" s="58"/>
      <c r="M490" s="65"/>
      <c r="N490" s="58"/>
      <c r="O490" s="71"/>
      <c r="P490" s="65"/>
      <c r="Q490" s="66"/>
      <c r="R490" s="16"/>
      <c r="S490" s="16"/>
      <c r="T490" s="16"/>
      <c r="U490" s="16"/>
      <c r="V490" s="16"/>
      <c r="W490" s="16"/>
      <c r="X490" s="294" t="s">
        <v>95</v>
      </c>
      <c r="Y490" s="295" t="s">
        <v>62</v>
      </c>
      <c r="Z490" s="296" t="s">
        <v>21</v>
      </c>
      <c r="AA490" s="296" t="s">
        <v>21</v>
      </c>
      <c r="AB490" s="348" t="s">
        <v>752</v>
      </c>
      <c r="AC490" s="297">
        <v>300</v>
      </c>
      <c r="AD490" s="459">
        <f t="shared" si="104"/>
        <v>650</v>
      </c>
      <c r="AE490" s="428">
        <f t="shared" si="104"/>
        <v>0</v>
      </c>
      <c r="AF490" s="438">
        <f t="shared" si="104"/>
        <v>0</v>
      </c>
      <c r="AG490" s="19"/>
      <c r="AH490" s="19"/>
      <c r="AI490" s="113"/>
    </row>
    <row r="491" spans="1:35" s="62" customFormat="1" x14ac:dyDescent="0.25">
      <c r="A491" s="53"/>
      <c r="B491" s="54"/>
      <c r="C491" s="56"/>
      <c r="D491" s="57"/>
      <c r="E491" s="57"/>
      <c r="F491" s="57"/>
      <c r="G491" s="58"/>
      <c r="H491" s="58"/>
      <c r="I491" s="58"/>
      <c r="J491" s="58"/>
      <c r="K491" s="58"/>
      <c r="L491" s="58"/>
      <c r="M491" s="58"/>
      <c r="N491" s="58"/>
      <c r="O491" s="59"/>
      <c r="P491" s="58"/>
      <c r="Q491" s="60"/>
      <c r="R491" s="61"/>
      <c r="S491" s="61"/>
      <c r="T491" s="61"/>
      <c r="U491" s="61"/>
      <c r="V491" s="61"/>
      <c r="W491" s="61"/>
      <c r="X491" s="294" t="s">
        <v>39</v>
      </c>
      <c r="Y491" s="295" t="s">
        <v>62</v>
      </c>
      <c r="Z491" s="296" t="s">
        <v>21</v>
      </c>
      <c r="AA491" s="296" t="s">
        <v>21</v>
      </c>
      <c r="AB491" s="348" t="s">
        <v>752</v>
      </c>
      <c r="AC491" s="297">
        <v>320</v>
      </c>
      <c r="AD491" s="459">
        <f>300+50+300</f>
        <v>650</v>
      </c>
      <c r="AE491" s="428">
        <v>0</v>
      </c>
      <c r="AF491" s="438">
        <v>0</v>
      </c>
      <c r="AG491" s="142"/>
      <c r="AH491" s="142"/>
      <c r="AI491" s="113"/>
    </row>
    <row r="492" spans="1:35" s="62" customFormat="1" x14ac:dyDescent="0.25">
      <c r="A492" s="53"/>
      <c r="B492" s="54"/>
      <c r="C492" s="56"/>
      <c r="D492" s="57"/>
      <c r="E492" s="57"/>
      <c r="F492" s="57"/>
      <c r="G492" s="58"/>
      <c r="H492" s="58"/>
      <c r="I492" s="58"/>
      <c r="J492" s="58"/>
      <c r="K492" s="58"/>
      <c r="L492" s="58"/>
      <c r="M492" s="58"/>
      <c r="N492" s="58"/>
      <c r="O492" s="59"/>
      <c r="P492" s="58"/>
      <c r="Q492" s="60"/>
      <c r="R492" s="61"/>
      <c r="S492" s="61"/>
      <c r="T492" s="61"/>
      <c r="U492" s="61"/>
      <c r="V492" s="61"/>
      <c r="W492" s="61"/>
      <c r="X492" s="445" t="s">
        <v>92</v>
      </c>
      <c r="Y492" s="291" t="s">
        <v>62</v>
      </c>
      <c r="Z492" s="312" t="s">
        <v>35</v>
      </c>
      <c r="AA492" s="296"/>
      <c r="AB492" s="348"/>
      <c r="AC492" s="297"/>
      <c r="AD492" s="459">
        <f>AD493+AD500+AD512+AD505</f>
        <v>4954.4000000000005</v>
      </c>
      <c r="AE492" s="459">
        <f>AE493+AE500+AE512+AE505</f>
        <v>4976</v>
      </c>
      <c r="AF492" s="459">
        <f>AF493+AF500+AF512+AF505</f>
        <v>4976</v>
      </c>
      <c r="AG492" s="142"/>
      <c r="AH492" s="142"/>
      <c r="AI492" s="113"/>
    </row>
    <row r="493" spans="1:35" s="77" customFormat="1" x14ac:dyDescent="0.25">
      <c r="A493" s="14"/>
      <c r="B493" s="63"/>
      <c r="C493" s="64"/>
      <c r="D493" s="64"/>
      <c r="E493" s="12"/>
      <c r="F493" s="64"/>
      <c r="G493" s="65"/>
      <c r="H493" s="65"/>
      <c r="I493" s="65"/>
      <c r="J493" s="65"/>
      <c r="K493" s="65"/>
      <c r="L493" s="58"/>
      <c r="M493" s="65"/>
      <c r="N493" s="58"/>
      <c r="O493" s="30"/>
      <c r="P493" s="65"/>
      <c r="Q493" s="66"/>
      <c r="R493" s="16"/>
      <c r="S493" s="16"/>
      <c r="T493" s="16"/>
      <c r="U493" s="16"/>
      <c r="V493" s="16"/>
      <c r="W493" s="16"/>
      <c r="X493" s="294" t="s">
        <v>54</v>
      </c>
      <c r="Y493" s="295" t="s">
        <v>62</v>
      </c>
      <c r="Z493" s="296">
        <v>10</v>
      </c>
      <c r="AA493" s="296" t="s">
        <v>28</v>
      </c>
      <c r="AB493" s="347"/>
      <c r="AC493" s="293"/>
      <c r="AD493" s="459">
        <f>AD494</f>
        <v>3919.3</v>
      </c>
      <c r="AE493" s="428">
        <f>AE494</f>
        <v>4010</v>
      </c>
      <c r="AF493" s="438">
        <f>AF494</f>
        <v>4010</v>
      </c>
      <c r="AG493" s="19"/>
      <c r="AH493" s="19"/>
      <c r="AI493" s="113"/>
    </row>
    <row r="494" spans="1:35" s="77" customFormat="1" x14ac:dyDescent="0.25">
      <c r="A494" s="69"/>
      <c r="B494" s="63"/>
      <c r="C494" s="64"/>
      <c r="D494" s="64"/>
      <c r="E494" s="12"/>
      <c r="F494" s="64"/>
      <c r="G494" s="65"/>
      <c r="H494" s="65"/>
      <c r="I494" s="65"/>
      <c r="J494" s="65"/>
      <c r="K494" s="65"/>
      <c r="L494" s="58"/>
      <c r="M494" s="65"/>
      <c r="N494" s="58"/>
      <c r="O494" s="30"/>
      <c r="P494" s="65"/>
      <c r="Q494" s="66"/>
      <c r="R494" s="16"/>
      <c r="S494" s="16"/>
      <c r="T494" s="16"/>
      <c r="U494" s="16"/>
      <c r="V494" s="16"/>
      <c r="W494" s="16"/>
      <c r="X494" s="299" t="s">
        <v>290</v>
      </c>
      <c r="Y494" s="295" t="s">
        <v>62</v>
      </c>
      <c r="Z494" s="296">
        <v>10</v>
      </c>
      <c r="AA494" s="296" t="s">
        <v>28</v>
      </c>
      <c r="AB494" s="348" t="s">
        <v>107</v>
      </c>
      <c r="AC494" s="293"/>
      <c r="AD494" s="459">
        <f>AD496</f>
        <v>3919.3</v>
      </c>
      <c r="AE494" s="428">
        <f>AE496</f>
        <v>4010</v>
      </c>
      <c r="AF494" s="438">
        <f>AF496</f>
        <v>4010</v>
      </c>
      <c r="AG494" s="19"/>
      <c r="AH494" s="19"/>
      <c r="AI494" s="113"/>
    </row>
    <row r="495" spans="1:35" s="77" customFormat="1" x14ac:dyDescent="0.25">
      <c r="A495" s="69"/>
      <c r="B495" s="63"/>
      <c r="C495" s="64"/>
      <c r="D495" s="64"/>
      <c r="E495" s="12"/>
      <c r="F495" s="64"/>
      <c r="G495" s="65"/>
      <c r="H495" s="65"/>
      <c r="I495" s="65"/>
      <c r="J495" s="65"/>
      <c r="K495" s="65"/>
      <c r="L495" s="58"/>
      <c r="M495" s="65"/>
      <c r="N495" s="58"/>
      <c r="O495" s="30"/>
      <c r="P495" s="65"/>
      <c r="Q495" s="66"/>
      <c r="R495" s="16"/>
      <c r="S495" s="16"/>
      <c r="T495" s="16"/>
      <c r="U495" s="16"/>
      <c r="V495" s="16"/>
      <c r="W495" s="16"/>
      <c r="X495" s="299" t="s">
        <v>291</v>
      </c>
      <c r="Y495" s="295" t="s">
        <v>62</v>
      </c>
      <c r="Z495" s="296">
        <v>10</v>
      </c>
      <c r="AA495" s="296" t="s">
        <v>28</v>
      </c>
      <c r="AB495" s="348" t="s">
        <v>116</v>
      </c>
      <c r="AC495" s="293"/>
      <c r="AD495" s="459">
        <f>AD496</f>
        <v>3919.3</v>
      </c>
      <c r="AE495" s="428">
        <f>AE496</f>
        <v>4010</v>
      </c>
      <c r="AF495" s="438">
        <f>AF496</f>
        <v>4010</v>
      </c>
      <c r="AG495" s="19"/>
      <c r="AH495" s="19"/>
      <c r="AI495" s="113"/>
    </row>
    <row r="496" spans="1:35" s="77" customFormat="1" ht="31.5" x14ac:dyDescent="0.25">
      <c r="A496" s="69"/>
      <c r="B496" s="63"/>
      <c r="C496" s="64"/>
      <c r="D496" s="64"/>
      <c r="E496" s="12"/>
      <c r="F496" s="64"/>
      <c r="G496" s="65"/>
      <c r="H496" s="65"/>
      <c r="I496" s="65"/>
      <c r="J496" s="65"/>
      <c r="K496" s="65"/>
      <c r="L496" s="58"/>
      <c r="M496" s="65"/>
      <c r="N496" s="58"/>
      <c r="O496" s="30"/>
      <c r="P496" s="65"/>
      <c r="Q496" s="66"/>
      <c r="R496" s="16"/>
      <c r="S496" s="16"/>
      <c r="T496" s="16"/>
      <c r="U496" s="16"/>
      <c r="V496" s="16"/>
      <c r="W496" s="16"/>
      <c r="X496" s="299" t="s">
        <v>461</v>
      </c>
      <c r="Y496" s="295" t="s">
        <v>62</v>
      </c>
      <c r="Z496" s="296">
        <v>10</v>
      </c>
      <c r="AA496" s="296" t="s">
        <v>28</v>
      </c>
      <c r="AB496" s="348" t="s">
        <v>460</v>
      </c>
      <c r="AC496" s="293"/>
      <c r="AD496" s="459">
        <f t="shared" ref="AD496:AF498" si="105">AD497</f>
        <v>3919.3</v>
      </c>
      <c r="AE496" s="428">
        <f t="shared" si="105"/>
        <v>4010</v>
      </c>
      <c r="AF496" s="438">
        <f t="shared" si="105"/>
        <v>4010</v>
      </c>
      <c r="AG496" s="19"/>
      <c r="AH496" s="19"/>
      <c r="AI496" s="113"/>
    </row>
    <row r="497" spans="1:35" s="77" customFormat="1" ht="31.5" x14ac:dyDescent="0.25">
      <c r="A497" s="69"/>
      <c r="B497" s="63"/>
      <c r="C497" s="64"/>
      <c r="D497" s="64"/>
      <c r="E497" s="12"/>
      <c r="F497" s="64"/>
      <c r="G497" s="65"/>
      <c r="H497" s="65"/>
      <c r="I497" s="65"/>
      <c r="J497" s="65"/>
      <c r="K497" s="65"/>
      <c r="L497" s="58"/>
      <c r="M497" s="65"/>
      <c r="N497" s="58"/>
      <c r="O497" s="30"/>
      <c r="P497" s="65"/>
      <c r="Q497" s="66"/>
      <c r="R497" s="16"/>
      <c r="S497" s="16"/>
      <c r="T497" s="16"/>
      <c r="U497" s="16"/>
      <c r="V497" s="16"/>
      <c r="W497" s="16"/>
      <c r="X497" s="307" t="s">
        <v>293</v>
      </c>
      <c r="Y497" s="295" t="s">
        <v>62</v>
      </c>
      <c r="Z497" s="296">
        <v>10</v>
      </c>
      <c r="AA497" s="296" t="s">
        <v>28</v>
      </c>
      <c r="AB497" s="348" t="s">
        <v>459</v>
      </c>
      <c r="AC497" s="293"/>
      <c r="AD497" s="459">
        <f t="shared" si="105"/>
        <v>3919.3</v>
      </c>
      <c r="AE497" s="428">
        <f t="shared" si="105"/>
        <v>4010</v>
      </c>
      <c r="AF497" s="438">
        <f t="shared" si="105"/>
        <v>4010</v>
      </c>
      <c r="AG497" s="19"/>
      <c r="AH497" s="19"/>
      <c r="AI497" s="113"/>
    </row>
    <row r="498" spans="1:35" s="77" customFormat="1" x14ac:dyDescent="0.25">
      <c r="A498" s="70"/>
      <c r="B498" s="63"/>
      <c r="C498" s="64"/>
      <c r="D498" s="64"/>
      <c r="E498" s="12"/>
      <c r="F498" s="64"/>
      <c r="G498" s="65"/>
      <c r="I498" s="15"/>
      <c r="J498" s="15"/>
      <c r="K498" s="15"/>
      <c r="L498" s="58"/>
      <c r="M498" s="15"/>
      <c r="N498" s="58"/>
      <c r="O498" s="30"/>
      <c r="P498" s="65"/>
      <c r="Q498" s="66"/>
      <c r="R498" s="16"/>
      <c r="S498" s="16"/>
      <c r="T498" s="16"/>
      <c r="U498" s="16"/>
      <c r="V498" s="16"/>
      <c r="X498" s="294" t="s">
        <v>95</v>
      </c>
      <c r="Y498" s="295" t="s">
        <v>62</v>
      </c>
      <c r="Z498" s="296">
        <v>10</v>
      </c>
      <c r="AA498" s="296" t="s">
        <v>28</v>
      </c>
      <c r="AB498" s="348" t="s">
        <v>459</v>
      </c>
      <c r="AC498" s="297">
        <v>300</v>
      </c>
      <c r="AD498" s="459">
        <f t="shared" si="105"/>
        <v>3919.3</v>
      </c>
      <c r="AE498" s="428">
        <f t="shared" si="105"/>
        <v>4010</v>
      </c>
      <c r="AF498" s="438">
        <f t="shared" si="105"/>
        <v>4010</v>
      </c>
      <c r="AG498" s="19"/>
      <c r="AH498" s="19"/>
      <c r="AI498" s="113"/>
    </row>
    <row r="499" spans="1:35" x14ac:dyDescent="0.25">
      <c r="B499" s="63"/>
      <c r="C499" s="64"/>
      <c r="D499" s="64"/>
      <c r="E499" s="12"/>
      <c r="F499" s="12"/>
      <c r="G499" s="65"/>
      <c r="H499" s="65"/>
      <c r="I499" s="65"/>
      <c r="J499" s="65"/>
      <c r="K499" s="65"/>
      <c r="L499" s="58"/>
      <c r="M499" s="65"/>
      <c r="N499" s="58"/>
      <c r="O499" s="65"/>
      <c r="P499" s="65"/>
      <c r="Q499" s="66"/>
      <c r="R499" s="16"/>
      <c r="S499" s="16"/>
      <c r="T499" s="16"/>
      <c r="U499" s="16"/>
      <c r="V499" s="16"/>
      <c r="W499" s="16"/>
      <c r="X499" s="294" t="s">
        <v>39</v>
      </c>
      <c r="Y499" s="295" t="s">
        <v>62</v>
      </c>
      <c r="Z499" s="296">
        <v>10</v>
      </c>
      <c r="AA499" s="296" t="s">
        <v>28</v>
      </c>
      <c r="AB499" s="348" t="s">
        <v>459</v>
      </c>
      <c r="AC499" s="297">
        <v>320</v>
      </c>
      <c r="AD499" s="459">
        <f>4010-90.7</f>
        <v>3919.3</v>
      </c>
      <c r="AE499" s="428">
        <v>4010</v>
      </c>
      <c r="AF499" s="438">
        <v>4010</v>
      </c>
      <c r="AG499" s="19"/>
      <c r="AH499" s="19"/>
      <c r="AI499" s="113"/>
    </row>
    <row r="500" spans="1:35" x14ac:dyDescent="0.25">
      <c r="B500" s="63"/>
      <c r="C500" s="64"/>
      <c r="D500" s="64"/>
      <c r="E500" s="12"/>
      <c r="F500" s="12"/>
      <c r="G500" s="65"/>
      <c r="H500" s="65"/>
      <c r="I500" s="65"/>
      <c r="J500" s="65"/>
      <c r="K500" s="65"/>
      <c r="L500" s="58"/>
      <c r="M500" s="65"/>
      <c r="N500" s="58"/>
      <c r="O500" s="65"/>
      <c r="P500" s="65"/>
      <c r="Q500" s="66"/>
      <c r="R500" s="16"/>
      <c r="S500" s="16"/>
      <c r="T500" s="16"/>
      <c r="U500" s="16"/>
      <c r="V500" s="16"/>
      <c r="W500" s="16"/>
      <c r="X500" s="294" t="s">
        <v>57</v>
      </c>
      <c r="Y500" s="295" t="s">
        <v>62</v>
      </c>
      <c r="Z500" s="296">
        <v>10</v>
      </c>
      <c r="AA500" s="296" t="s">
        <v>6</v>
      </c>
      <c r="AB500" s="347"/>
      <c r="AC500" s="297"/>
      <c r="AD500" s="459">
        <f>AD501</f>
        <v>359</v>
      </c>
      <c r="AE500" s="428">
        <f t="shared" ref="AE500:AF503" si="106">AE501</f>
        <v>0</v>
      </c>
      <c r="AF500" s="438">
        <f t="shared" si="106"/>
        <v>0</v>
      </c>
      <c r="AG500" s="19"/>
      <c r="AH500" s="19"/>
      <c r="AI500" s="113"/>
    </row>
    <row r="501" spans="1:35" x14ac:dyDescent="0.25">
      <c r="B501" s="63"/>
      <c r="C501" s="64"/>
      <c r="D501" s="64"/>
      <c r="E501" s="12"/>
      <c r="F501" s="12"/>
      <c r="G501" s="65"/>
      <c r="H501" s="65"/>
      <c r="I501" s="65"/>
      <c r="J501" s="65"/>
      <c r="K501" s="65"/>
      <c r="L501" s="58"/>
      <c r="M501" s="65"/>
      <c r="N501" s="58"/>
      <c r="O501" s="65"/>
      <c r="P501" s="65"/>
      <c r="Q501" s="66"/>
      <c r="R501" s="16"/>
      <c r="S501" s="16"/>
      <c r="T501" s="16"/>
      <c r="U501" s="16"/>
      <c r="V501" s="16"/>
      <c r="W501" s="16"/>
      <c r="X501" s="294" t="s">
        <v>328</v>
      </c>
      <c r="Y501" s="295" t="s">
        <v>62</v>
      </c>
      <c r="Z501" s="296">
        <v>10</v>
      </c>
      <c r="AA501" s="296" t="s">
        <v>6</v>
      </c>
      <c r="AB501" s="352" t="s">
        <v>135</v>
      </c>
      <c r="AC501" s="372"/>
      <c r="AD501" s="459">
        <f>AD502</f>
        <v>359</v>
      </c>
      <c r="AE501" s="428">
        <f t="shared" si="106"/>
        <v>0</v>
      </c>
      <c r="AF501" s="438">
        <f t="shared" si="106"/>
        <v>0</v>
      </c>
      <c r="AG501" s="19"/>
      <c r="AH501" s="19"/>
      <c r="AI501" s="113"/>
    </row>
    <row r="502" spans="1:35" x14ac:dyDescent="0.25">
      <c r="B502" s="63"/>
      <c r="C502" s="64"/>
      <c r="D502" s="64"/>
      <c r="E502" s="12"/>
      <c r="F502" s="12"/>
      <c r="G502" s="65"/>
      <c r="H502" s="65"/>
      <c r="I502" s="65"/>
      <c r="J502" s="65"/>
      <c r="K502" s="65"/>
      <c r="L502" s="58"/>
      <c r="M502" s="65"/>
      <c r="N502" s="58"/>
      <c r="O502" s="65"/>
      <c r="P502" s="65"/>
      <c r="Q502" s="66"/>
      <c r="R502" s="16"/>
      <c r="S502" s="16"/>
      <c r="T502" s="16"/>
      <c r="U502" s="16"/>
      <c r="V502" s="16"/>
      <c r="W502" s="16"/>
      <c r="X502" s="307" t="s">
        <v>602</v>
      </c>
      <c r="Y502" s="295" t="s">
        <v>62</v>
      </c>
      <c r="Z502" s="296">
        <v>10</v>
      </c>
      <c r="AA502" s="296" t="s">
        <v>6</v>
      </c>
      <c r="AB502" s="348" t="s">
        <v>601</v>
      </c>
      <c r="AC502" s="372"/>
      <c r="AD502" s="459">
        <f>AD503</f>
        <v>359</v>
      </c>
      <c r="AE502" s="428">
        <f t="shared" si="106"/>
        <v>0</v>
      </c>
      <c r="AF502" s="438">
        <f t="shared" si="106"/>
        <v>0</v>
      </c>
      <c r="AG502" s="19"/>
      <c r="AH502" s="19"/>
      <c r="AI502" s="113"/>
    </row>
    <row r="503" spans="1:35" x14ac:dyDescent="0.25">
      <c r="B503" s="63"/>
      <c r="C503" s="64"/>
      <c r="D503" s="64"/>
      <c r="E503" s="12"/>
      <c r="F503" s="12"/>
      <c r="G503" s="65"/>
      <c r="H503" s="65"/>
      <c r="I503" s="65"/>
      <c r="J503" s="65"/>
      <c r="K503" s="65"/>
      <c r="L503" s="58"/>
      <c r="M503" s="65"/>
      <c r="N503" s="58"/>
      <c r="O503" s="65"/>
      <c r="P503" s="65"/>
      <c r="Q503" s="66"/>
      <c r="R503" s="16"/>
      <c r="S503" s="16"/>
      <c r="T503" s="16"/>
      <c r="U503" s="16"/>
      <c r="V503" s="16"/>
      <c r="W503" s="16"/>
      <c r="X503" s="294" t="s">
        <v>95</v>
      </c>
      <c r="Y503" s="295" t="s">
        <v>62</v>
      </c>
      <c r="Z503" s="296">
        <v>10</v>
      </c>
      <c r="AA503" s="296" t="s">
        <v>6</v>
      </c>
      <c r="AB503" s="348" t="s">
        <v>601</v>
      </c>
      <c r="AC503" s="297">
        <v>300</v>
      </c>
      <c r="AD503" s="459">
        <f>AD504</f>
        <v>359</v>
      </c>
      <c r="AE503" s="428">
        <f t="shared" si="106"/>
        <v>0</v>
      </c>
      <c r="AF503" s="438">
        <f t="shared" si="106"/>
        <v>0</v>
      </c>
      <c r="AG503" s="19"/>
      <c r="AH503" s="19"/>
      <c r="AI503" s="113"/>
    </row>
    <row r="504" spans="1:35" x14ac:dyDescent="0.25">
      <c r="B504" s="63"/>
      <c r="C504" s="64"/>
      <c r="D504" s="64"/>
      <c r="E504" s="12"/>
      <c r="F504" s="12"/>
      <c r="G504" s="65"/>
      <c r="H504" s="65"/>
      <c r="I504" s="65"/>
      <c r="J504" s="65"/>
      <c r="K504" s="65"/>
      <c r="L504" s="58"/>
      <c r="M504" s="65"/>
      <c r="N504" s="58"/>
      <c r="O504" s="65"/>
      <c r="P504" s="65"/>
      <c r="Q504" s="66"/>
      <c r="R504" s="16"/>
      <c r="S504" s="16"/>
      <c r="T504" s="16"/>
      <c r="U504" s="16"/>
      <c r="V504" s="16"/>
      <c r="W504" s="16"/>
      <c r="X504" s="252" t="s">
        <v>129</v>
      </c>
      <c r="Y504" s="295" t="s">
        <v>62</v>
      </c>
      <c r="Z504" s="296">
        <v>10</v>
      </c>
      <c r="AA504" s="296" t="s">
        <v>6</v>
      </c>
      <c r="AB504" s="348" t="s">
        <v>601</v>
      </c>
      <c r="AC504" s="297">
        <v>310</v>
      </c>
      <c r="AD504" s="459">
        <f>331+28</f>
        <v>359</v>
      </c>
      <c r="AE504" s="428">
        <v>0</v>
      </c>
      <c r="AF504" s="438">
        <v>0</v>
      </c>
      <c r="AG504" s="19"/>
      <c r="AH504" s="19"/>
      <c r="AI504" s="113"/>
    </row>
    <row r="505" spans="1:35" x14ac:dyDescent="0.25">
      <c r="B505" s="63"/>
      <c r="C505" s="64"/>
      <c r="D505" s="64"/>
      <c r="E505" s="12"/>
      <c r="F505" s="12"/>
      <c r="G505" s="65"/>
      <c r="H505" s="65"/>
      <c r="I505" s="65"/>
      <c r="J505" s="65"/>
      <c r="K505" s="65"/>
      <c r="L505" s="58"/>
      <c r="M505" s="65"/>
      <c r="N505" s="58"/>
      <c r="O505" s="65"/>
      <c r="P505" s="65"/>
      <c r="Q505" s="66"/>
      <c r="R505" s="16"/>
      <c r="S505" s="16"/>
      <c r="T505" s="16"/>
      <c r="U505" s="16"/>
      <c r="V505" s="16"/>
      <c r="W505" s="16"/>
      <c r="X505" s="294" t="s">
        <v>30</v>
      </c>
      <c r="Y505" s="295" t="s">
        <v>62</v>
      </c>
      <c r="Z505" s="296">
        <v>10</v>
      </c>
      <c r="AA505" s="296" t="s">
        <v>48</v>
      </c>
      <c r="AB505" s="348"/>
      <c r="AC505" s="297"/>
      <c r="AD505" s="459">
        <f t="shared" ref="AD505:AD510" si="107">AD506</f>
        <v>536.1</v>
      </c>
      <c r="AE505" s="459">
        <f t="shared" ref="AE505:AF510" si="108">AE506</f>
        <v>826</v>
      </c>
      <c r="AF505" s="459">
        <f t="shared" si="108"/>
        <v>826</v>
      </c>
      <c r="AG505" s="19"/>
      <c r="AH505" s="19"/>
      <c r="AI505" s="113"/>
    </row>
    <row r="506" spans="1:35" x14ac:dyDescent="0.25">
      <c r="B506" s="63"/>
      <c r="C506" s="64"/>
      <c r="D506" s="64"/>
      <c r="E506" s="12"/>
      <c r="F506" s="12"/>
      <c r="G506" s="65"/>
      <c r="H506" s="65"/>
      <c r="I506" s="65"/>
      <c r="J506" s="65"/>
      <c r="K506" s="65"/>
      <c r="L506" s="58"/>
      <c r="M506" s="65"/>
      <c r="N506" s="58"/>
      <c r="O506" s="65"/>
      <c r="P506" s="65"/>
      <c r="Q506" s="66"/>
      <c r="R506" s="16"/>
      <c r="S506" s="16"/>
      <c r="T506" s="16"/>
      <c r="U506" s="16"/>
      <c r="V506" s="16"/>
      <c r="W506" s="16"/>
      <c r="X506" s="301" t="s">
        <v>260</v>
      </c>
      <c r="Y506" s="295" t="s">
        <v>62</v>
      </c>
      <c r="Z506" s="296">
        <v>10</v>
      </c>
      <c r="AA506" s="296" t="s">
        <v>48</v>
      </c>
      <c r="AB506" s="347" t="s">
        <v>98</v>
      </c>
      <c r="AC506" s="297"/>
      <c r="AD506" s="459">
        <f t="shared" si="107"/>
        <v>536.1</v>
      </c>
      <c r="AE506" s="459">
        <f t="shared" si="108"/>
        <v>826</v>
      </c>
      <c r="AF506" s="459">
        <f t="shared" si="108"/>
        <v>826</v>
      </c>
      <c r="AG506" s="19"/>
      <c r="AH506" s="19"/>
      <c r="AI506" s="113"/>
    </row>
    <row r="507" spans="1:35" x14ac:dyDescent="0.25">
      <c r="B507" s="63"/>
      <c r="C507" s="64"/>
      <c r="D507" s="64"/>
      <c r="E507" s="12"/>
      <c r="F507" s="12"/>
      <c r="G507" s="65"/>
      <c r="H507" s="65"/>
      <c r="I507" s="65"/>
      <c r="J507" s="65"/>
      <c r="K507" s="65"/>
      <c r="L507" s="58"/>
      <c r="M507" s="65"/>
      <c r="N507" s="58"/>
      <c r="O507" s="65"/>
      <c r="P507" s="65"/>
      <c r="Q507" s="66"/>
      <c r="R507" s="16"/>
      <c r="S507" s="16"/>
      <c r="T507" s="16"/>
      <c r="U507" s="16"/>
      <c r="V507" s="16"/>
      <c r="W507" s="16"/>
      <c r="X507" s="301" t="s">
        <v>511</v>
      </c>
      <c r="Y507" s="295" t="s">
        <v>62</v>
      </c>
      <c r="Z507" s="296">
        <v>10</v>
      </c>
      <c r="AA507" s="296" t="s">
        <v>48</v>
      </c>
      <c r="AB507" s="347" t="s">
        <v>115</v>
      </c>
      <c r="AC507" s="297"/>
      <c r="AD507" s="459">
        <f t="shared" si="107"/>
        <v>536.1</v>
      </c>
      <c r="AE507" s="459">
        <f t="shared" si="108"/>
        <v>826</v>
      </c>
      <c r="AF507" s="459">
        <f t="shared" si="108"/>
        <v>826</v>
      </c>
      <c r="AG507" s="19"/>
      <c r="AH507" s="19"/>
      <c r="AI507" s="113"/>
    </row>
    <row r="508" spans="1:35" ht="31.5" x14ac:dyDescent="0.25">
      <c r="B508" s="63"/>
      <c r="C508" s="64"/>
      <c r="D508" s="64"/>
      <c r="E508" s="12"/>
      <c r="F508" s="12"/>
      <c r="G508" s="65"/>
      <c r="H508" s="65"/>
      <c r="I508" s="65"/>
      <c r="J508" s="65"/>
      <c r="K508" s="65"/>
      <c r="L508" s="58"/>
      <c r="M508" s="65"/>
      <c r="N508" s="58"/>
      <c r="O508" s="65"/>
      <c r="P508" s="65"/>
      <c r="Q508" s="66"/>
      <c r="R508" s="16"/>
      <c r="S508" s="16"/>
      <c r="T508" s="16"/>
      <c r="U508" s="16"/>
      <c r="V508" s="16"/>
      <c r="W508" s="16"/>
      <c r="X508" s="301" t="s">
        <v>264</v>
      </c>
      <c r="Y508" s="295" t="s">
        <v>62</v>
      </c>
      <c r="Z508" s="296">
        <v>10</v>
      </c>
      <c r="AA508" s="296" t="s">
        <v>48</v>
      </c>
      <c r="AB508" s="348" t="s">
        <v>442</v>
      </c>
      <c r="AC508" s="297"/>
      <c r="AD508" s="459">
        <f t="shared" si="107"/>
        <v>536.1</v>
      </c>
      <c r="AE508" s="459">
        <f t="shared" si="108"/>
        <v>826</v>
      </c>
      <c r="AF508" s="459">
        <f t="shared" si="108"/>
        <v>826</v>
      </c>
      <c r="AG508" s="19"/>
      <c r="AH508" s="19"/>
      <c r="AI508" s="113"/>
    </row>
    <row r="509" spans="1:35" ht="47.25" x14ac:dyDescent="0.25">
      <c r="B509" s="63"/>
      <c r="C509" s="64"/>
      <c r="D509" s="64"/>
      <c r="E509" s="12"/>
      <c r="F509" s="12"/>
      <c r="G509" s="65"/>
      <c r="H509" s="65"/>
      <c r="I509" s="65"/>
      <c r="J509" s="65"/>
      <c r="K509" s="65"/>
      <c r="L509" s="58"/>
      <c r="M509" s="65"/>
      <c r="N509" s="58"/>
      <c r="O509" s="65"/>
      <c r="P509" s="65"/>
      <c r="Q509" s="66"/>
      <c r="R509" s="16"/>
      <c r="S509" s="16"/>
      <c r="T509" s="16"/>
      <c r="U509" s="16"/>
      <c r="V509" s="16"/>
      <c r="W509" s="16"/>
      <c r="X509" s="449" t="s">
        <v>261</v>
      </c>
      <c r="Y509" s="295" t="s">
        <v>62</v>
      </c>
      <c r="Z509" s="296">
        <v>10</v>
      </c>
      <c r="AA509" s="296" t="s">
        <v>48</v>
      </c>
      <c r="AB509" s="348" t="s">
        <v>462</v>
      </c>
      <c r="AC509" s="297"/>
      <c r="AD509" s="459">
        <f t="shared" si="107"/>
        <v>536.1</v>
      </c>
      <c r="AE509" s="459">
        <f t="shared" si="108"/>
        <v>826</v>
      </c>
      <c r="AF509" s="459">
        <f t="shared" si="108"/>
        <v>826</v>
      </c>
      <c r="AG509" s="19"/>
      <c r="AH509" s="19"/>
      <c r="AI509" s="113"/>
    </row>
    <row r="510" spans="1:35" ht="47.25" x14ac:dyDescent="0.25">
      <c r="B510" s="63"/>
      <c r="C510" s="64"/>
      <c r="D510" s="64"/>
      <c r="E510" s="12"/>
      <c r="F510" s="12"/>
      <c r="G510" s="65"/>
      <c r="H510" s="65"/>
      <c r="I510" s="65"/>
      <c r="J510" s="65"/>
      <c r="K510" s="65"/>
      <c r="L510" s="58"/>
      <c r="M510" s="65"/>
      <c r="N510" s="58"/>
      <c r="O510" s="65"/>
      <c r="P510" s="65"/>
      <c r="Q510" s="66"/>
      <c r="R510" s="16"/>
      <c r="S510" s="16"/>
      <c r="T510" s="16"/>
      <c r="U510" s="16"/>
      <c r="V510" s="16"/>
      <c r="W510" s="16"/>
      <c r="X510" s="294" t="s">
        <v>40</v>
      </c>
      <c r="Y510" s="295" t="s">
        <v>62</v>
      </c>
      <c r="Z510" s="296">
        <v>10</v>
      </c>
      <c r="AA510" s="296" t="s">
        <v>48</v>
      </c>
      <c r="AB510" s="348" t="s">
        <v>462</v>
      </c>
      <c r="AC510" s="297">
        <v>100</v>
      </c>
      <c r="AD510" s="459">
        <f t="shared" si="107"/>
        <v>536.1</v>
      </c>
      <c r="AE510" s="459">
        <f t="shared" si="108"/>
        <v>826</v>
      </c>
      <c r="AF510" s="459">
        <f t="shared" si="108"/>
        <v>826</v>
      </c>
      <c r="AG510" s="19"/>
      <c r="AH510" s="19"/>
      <c r="AI510" s="113"/>
    </row>
    <row r="511" spans="1:35" x14ac:dyDescent="0.25">
      <c r="B511" s="63"/>
      <c r="C511" s="64"/>
      <c r="D511" s="64"/>
      <c r="E511" s="12"/>
      <c r="F511" s="12"/>
      <c r="G511" s="65"/>
      <c r="H511" s="65"/>
      <c r="I511" s="65"/>
      <c r="J511" s="65"/>
      <c r="K511" s="65"/>
      <c r="L511" s="58"/>
      <c r="M511" s="65"/>
      <c r="N511" s="58"/>
      <c r="O511" s="65"/>
      <c r="P511" s="65"/>
      <c r="Q511" s="66"/>
      <c r="R511" s="16"/>
      <c r="S511" s="16"/>
      <c r="T511" s="16"/>
      <c r="U511" s="16"/>
      <c r="V511" s="16"/>
      <c r="W511" s="16"/>
      <c r="X511" s="294" t="s">
        <v>67</v>
      </c>
      <c r="Y511" s="295" t="s">
        <v>62</v>
      </c>
      <c r="Z511" s="296">
        <v>10</v>
      </c>
      <c r="AA511" s="296" t="s">
        <v>48</v>
      </c>
      <c r="AB511" s="348" t="s">
        <v>462</v>
      </c>
      <c r="AC511" s="297">
        <v>110</v>
      </c>
      <c r="AD511" s="459">
        <v>536.1</v>
      </c>
      <c r="AE511" s="428">
        <v>826</v>
      </c>
      <c r="AF511" s="438">
        <v>826</v>
      </c>
      <c r="AG511" s="19"/>
      <c r="AH511" s="19"/>
      <c r="AI511" s="113"/>
    </row>
    <row r="512" spans="1:35" x14ac:dyDescent="0.25">
      <c r="A512" s="68"/>
      <c r="B512" s="63"/>
      <c r="C512" s="64"/>
      <c r="D512" s="64"/>
      <c r="E512" s="12"/>
      <c r="F512" s="12"/>
      <c r="G512" s="65"/>
      <c r="H512" s="65"/>
      <c r="I512" s="65"/>
      <c r="J512" s="65"/>
      <c r="K512" s="65"/>
      <c r="L512" s="58"/>
      <c r="M512" s="65"/>
      <c r="N512" s="58"/>
      <c r="O512" s="71"/>
      <c r="P512" s="65"/>
      <c r="Q512" s="66"/>
      <c r="R512" s="97"/>
      <c r="S512" s="66"/>
      <c r="T512" s="66"/>
      <c r="U512" s="66"/>
      <c r="V512" s="66"/>
      <c r="W512" s="66"/>
      <c r="X512" s="294" t="s">
        <v>32</v>
      </c>
      <c r="Y512" s="295" t="s">
        <v>62</v>
      </c>
      <c r="Z512" s="296">
        <v>10</v>
      </c>
      <c r="AA512" s="296" t="s">
        <v>93</v>
      </c>
      <c r="AB512" s="347"/>
      <c r="AC512" s="323"/>
      <c r="AD512" s="459">
        <f t="shared" ref="AD512:AF513" si="109">AD513</f>
        <v>140</v>
      </c>
      <c r="AE512" s="428">
        <f t="shared" si="109"/>
        <v>140</v>
      </c>
      <c r="AF512" s="438">
        <f t="shared" si="109"/>
        <v>140</v>
      </c>
      <c r="AG512" s="19"/>
      <c r="AH512" s="19"/>
      <c r="AI512" s="113"/>
    </row>
    <row r="513" spans="1:35" x14ac:dyDescent="0.25">
      <c r="B513" s="63"/>
      <c r="C513" s="64"/>
      <c r="D513" s="64"/>
      <c r="E513" s="12"/>
      <c r="F513" s="12"/>
      <c r="G513" s="65"/>
      <c r="H513" s="65"/>
      <c r="I513" s="65"/>
      <c r="J513" s="65"/>
      <c r="K513" s="65"/>
      <c r="L513" s="65"/>
      <c r="M513" s="65"/>
      <c r="N513" s="65"/>
      <c r="O513" s="71"/>
      <c r="P513" s="65"/>
      <c r="Q513" s="66"/>
      <c r="R513" s="97"/>
      <c r="S513" s="66"/>
      <c r="T513" s="66"/>
      <c r="U513" s="66"/>
      <c r="V513" s="66"/>
      <c r="W513" s="66"/>
      <c r="X513" s="299" t="s">
        <v>290</v>
      </c>
      <c r="Y513" s="295" t="s">
        <v>62</v>
      </c>
      <c r="Z513" s="296">
        <v>10</v>
      </c>
      <c r="AA513" s="296" t="s">
        <v>93</v>
      </c>
      <c r="AB513" s="348" t="s">
        <v>107</v>
      </c>
      <c r="AC513" s="323"/>
      <c r="AD513" s="459">
        <f>AD514</f>
        <v>140</v>
      </c>
      <c r="AE513" s="428">
        <f t="shared" si="109"/>
        <v>140</v>
      </c>
      <c r="AF513" s="438">
        <f t="shared" si="109"/>
        <v>140</v>
      </c>
      <c r="AG513" s="19"/>
      <c r="AH513" s="19"/>
      <c r="AI513" s="113"/>
    </row>
    <row r="514" spans="1:35" ht="31.5" x14ac:dyDescent="0.25">
      <c r="B514" s="63"/>
      <c r="C514" s="64"/>
      <c r="D514" s="64"/>
      <c r="E514" s="12"/>
      <c r="F514" s="12"/>
      <c r="G514" s="65"/>
      <c r="H514" s="65"/>
      <c r="I514" s="65"/>
      <c r="J514" s="65"/>
      <c r="K514" s="65"/>
      <c r="L514" s="65"/>
      <c r="M514" s="65"/>
      <c r="N514" s="65"/>
      <c r="O514" s="71"/>
      <c r="P514" s="65"/>
      <c r="Q514" s="66"/>
      <c r="R514" s="97"/>
      <c r="S514" s="66"/>
      <c r="T514" s="66"/>
      <c r="U514" s="66"/>
      <c r="V514" s="66"/>
      <c r="W514" s="66"/>
      <c r="X514" s="299" t="s">
        <v>339</v>
      </c>
      <c r="Y514" s="295" t="s">
        <v>62</v>
      </c>
      <c r="Z514" s="296">
        <v>10</v>
      </c>
      <c r="AA514" s="296" t="s">
        <v>93</v>
      </c>
      <c r="AB514" s="348" t="s">
        <v>516</v>
      </c>
      <c r="AC514" s="323"/>
      <c r="AD514" s="459">
        <f>AD515</f>
        <v>140</v>
      </c>
      <c r="AE514" s="428">
        <f>AE515</f>
        <v>140</v>
      </c>
      <c r="AF514" s="438">
        <f>AF515</f>
        <v>140</v>
      </c>
      <c r="AG514" s="19"/>
      <c r="AH514" s="19"/>
      <c r="AI514" s="113"/>
    </row>
    <row r="515" spans="1:35" x14ac:dyDescent="0.25">
      <c r="B515" s="63"/>
      <c r="C515" s="64"/>
      <c r="D515" s="64"/>
      <c r="E515" s="12"/>
      <c r="F515" s="12"/>
      <c r="G515" s="65"/>
      <c r="H515" s="65"/>
      <c r="I515" s="65"/>
      <c r="J515" s="65"/>
      <c r="K515" s="65"/>
      <c r="L515" s="65"/>
      <c r="M515" s="65"/>
      <c r="N515" s="65"/>
      <c r="O515" s="71"/>
      <c r="P515" s="65"/>
      <c r="Q515" s="66"/>
      <c r="R515" s="97"/>
      <c r="S515" s="66"/>
      <c r="T515" s="66"/>
      <c r="U515" s="66"/>
      <c r="V515" s="66"/>
      <c r="W515" s="66"/>
      <c r="X515" s="453" t="s">
        <v>518</v>
      </c>
      <c r="Y515" s="295" t="s">
        <v>62</v>
      </c>
      <c r="Z515" s="296">
        <v>10</v>
      </c>
      <c r="AA515" s="296" t="s">
        <v>93</v>
      </c>
      <c r="AB515" s="348" t="s">
        <v>517</v>
      </c>
      <c r="AC515" s="323"/>
      <c r="AD515" s="459">
        <f>AD519+AD516</f>
        <v>140</v>
      </c>
      <c r="AE515" s="428">
        <f>AE519+AE516</f>
        <v>140</v>
      </c>
      <c r="AF515" s="438">
        <f>AF519+AF516</f>
        <v>140</v>
      </c>
      <c r="AG515" s="19"/>
      <c r="AH515" s="19"/>
      <c r="AI515" s="113"/>
    </row>
    <row r="516" spans="1:35" x14ac:dyDescent="0.25">
      <c r="B516" s="63"/>
      <c r="C516" s="64"/>
      <c r="D516" s="64"/>
      <c r="E516" s="12"/>
      <c r="F516" s="12"/>
      <c r="G516" s="65"/>
      <c r="H516" s="65"/>
      <c r="I516" s="65"/>
      <c r="J516" s="65"/>
      <c r="K516" s="65"/>
      <c r="L516" s="65"/>
      <c r="M516" s="65"/>
      <c r="N516" s="65"/>
      <c r="O516" s="71"/>
      <c r="P516" s="65"/>
      <c r="Q516" s="66"/>
      <c r="R516" s="97"/>
      <c r="S516" s="66"/>
      <c r="T516" s="66"/>
      <c r="U516" s="66"/>
      <c r="V516" s="66"/>
      <c r="W516" s="66"/>
      <c r="X516" s="449" t="s">
        <v>583</v>
      </c>
      <c r="Y516" s="295" t="s">
        <v>62</v>
      </c>
      <c r="Z516" s="296">
        <v>10</v>
      </c>
      <c r="AA516" s="296" t="s">
        <v>93</v>
      </c>
      <c r="AB516" s="348" t="s">
        <v>584</v>
      </c>
      <c r="AC516" s="375"/>
      <c r="AD516" s="463">
        <f t="shared" ref="AD516:AF517" si="110">AD517</f>
        <v>70</v>
      </c>
      <c r="AE516" s="432">
        <f t="shared" si="110"/>
        <v>70</v>
      </c>
      <c r="AF516" s="442">
        <f t="shared" si="110"/>
        <v>70</v>
      </c>
      <c r="AG516" s="19"/>
      <c r="AH516" s="19"/>
      <c r="AI516" s="113"/>
    </row>
    <row r="517" spans="1:35" ht="31.5" x14ac:dyDescent="0.25">
      <c r="B517" s="63"/>
      <c r="C517" s="64"/>
      <c r="D517" s="64"/>
      <c r="E517" s="12"/>
      <c r="F517" s="12"/>
      <c r="G517" s="65"/>
      <c r="H517" s="65"/>
      <c r="I517" s="65"/>
      <c r="J517" s="65"/>
      <c r="K517" s="65"/>
      <c r="L517" s="65"/>
      <c r="M517" s="65"/>
      <c r="N517" s="65"/>
      <c r="O517" s="71"/>
      <c r="P517" s="65"/>
      <c r="Q517" s="66"/>
      <c r="R517" s="97"/>
      <c r="S517" s="66"/>
      <c r="T517" s="66"/>
      <c r="U517" s="66"/>
      <c r="V517" s="66"/>
      <c r="W517" s="66"/>
      <c r="X517" s="446" t="s">
        <v>59</v>
      </c>
      <c r="Y517" s="295" t="s">
        <v>62</v>
      </c>
      <c r="Z517" s="296">
        <v>10</v>
      </c>
      <c r="AA517" s="296" t="s">
        <v>93</v>
      </c>
      <c r="AB517" s="348" t="s">
        <v>584</v>
      </c>
      <c r="AC517" s="375">
        <v>600</v>
      </c>
      <c r="AD517" s="463">
        <f t="shared" si="110"/>
        <v>70</v>
      </c>
      <c r="AE517" s="432">
        <f t="shared" si="110"/>
        <v>70</v>
      </c>
      <c r="AF517" s="442">
        <f t="shared" si="110"/>
        <v>70</v>
      </c>
      <c r="AG517" s="19"/>
      <c r="AH517" s="19"/>
      <c r="AI517" s="113"/>
    </row>
    <row r="518" spans="1:35" ht="47.25" x14ac:dyDescent="0.25">
      <c r="B518" s="63"/>
      <c r="C518" s="64"/>
      <c r="D518" s="64"/>
      <c r="E518" s="12"/>
      <c r="F518" s="12"/>
      <c r="G518" s="65"/>
      <c r="H518" s="65"/>
      <c r="I518" s="65"/>
      <c r="J518" s="65"/>
      <c r="K518" s="65"/>
      <c r="L518" s="65"/>
      <c r="M518" s="65"/>
      <c r="N518" s="65"/>
      <c r="O518" s="71"/>
      <c r="P518" s="65"/>
      <c r="Q518" s="66"/>
      <c r="R518" s="97"/>
      <c r="S518" s="66"/>
      <c r="T518" s="66"/>
      <c r="U518" s="66"/>
      <c r="V518" s="66"/>
      <c r="W518" s="66"/>
      <c r="X518" s="454" t="s">
        <v>403</v>
      </c>
      <c r="Y518" s="295" t="s">
        <v>62</v>
      </c>
      <c r="Z518" s="296">
        <v>10</v>
      </c>
      <c r="AA518" s="296" t="s">
        <v>93</v>
      </c>
      <c r="AB518" s="348" t="s">
        <v>584</v>
      </c>
      <c r="AC518" s="375">
        <v>630</v>
      </c>
      <c r="AD518" s="463">
        <f>70</f>
        <v>70</v>
      </c>
      <c r="AE518" s="432">
        <v>70</v>
      </c>
      <c r="AF518" s="442">
        <v>70</v>
      </c>
      <c r="AG518" s="19"/>
      <c r="AH518" s="19"/>
      <c r="AI518" s="113"/>
    </row>
    <row r="519" spans="1:35" ht="31.5" x14ac:dyDescent="0.25">
      <c r="B519" s="63"/>
      <c r="C519" s="64"/>
      <c r="D519" s="64"/>
      <c r="E519" s="12"/>
      <c r="F519" s="12"/>
      <c r="G519" s="65"/>
      <c r="H519" s="65"/>
      <c r="I519" s="65"/>
      <c r="J519" s="65"/>
      <c r="K519" s="65"/>
      <c r="L519" s="65"/>
      <c r="M519" s="65"/>
      <c r="N519" s="65"/>
      <c r="O519" s="71"/>
      <c r="P519" s="65"/>
      <c r="Q519" s="66"/>
      <c r="R519" s="97"/>
      <c r="S519" s="66"/>
      <c r="T519" s="66"/>
      <c r="U519" s="66"/>
      <c r="V519" s="66"/>
      <c r="W519" s="66"/>
      <c r="X519" s="449" t="s">
        <v>564</v>
      </c>
      <c r="Y519" s="295" t="s">
        <v>62</v>
      </c>
      <c r="Z519" s="296">
        <v>10</v>
      </c>
      <c r="AA519" s="296" t="s">
        <v>93</v>
      </c>
      <c r="AB519" s="348" t="s">
        <v>565</v>
      </c>
      <c r="AC519" s="375"/>
      <c r="AD519" s="463">
        <f t="shared" ref="AD519:AF520" si="111">AD520</f>
        <v>70</v>
      </c>
      <c r="AE519" s="432">
        <f t="shared" si="111"/>
        <v>70</v>
      </c>
      <c r="AF519" s="442">
        <f t="shared" si="111"/>
        <v>70</v>
      </c>
      <c r="AI519" s="113"/>
    </row>
    <row r="520" spans="1:35" ht="31.5" x14ac:dyDescent="0.25">
      <c r="B520" s="63"/>
      <c r="C520" s="64"/>
      <c r="D520" s="64"/>
      <c r="E520" s="12"/>
      <c r="F520" s="12"/>
      <c r="G520" s="65"/>
      <c r="H520" s="65"/>
      <c r="I520" s="65"/>
      <c r="J520" s="65"/>
      <c r="K520" s="65"/>
      <c r="L520" s="65"/>
      <c r="M520" s="65"/>
      <c r="N520" s="65"/>
      <c r="O520" s="71"/>
      <c r="P520" s="65"/>
      <c r="Q520" s="66"/>
      <c r="R520" s="97"/>
      <c r="S520" s="66"/>
      <c r="T520" s="66"/>
      <c r="U520" s="66"/>
      <c r="V520" s="66"/>
      <c r="W520" s="66"/>
      <c r="X520" s="446" t="s">
        <v>59</v>
      </c>
      <c r="Y520" s="295" t="s">
        <v>62</v>
      </c>
      <c r="Z520" s="296">
        <v>10</v>
      </c>
      <c r="AA520" s="296" t="s">
        <v>93</v>
      </c>
      <c r="AB520" s="348" t="s">
        <v>565</v>
      </c>
      <c r="AC520" s="375">
        <v>600</v>
      </c>
      <c r="AD520" s="463">
        <f t="shared" si="111"/>
        <v>70</v>
      </c>
      <c r="AE520" s="432">
        <f t="shared" si="111"/>
        <v>70</v>
      </c>
      <c r="AF520" s="442">
        <f t="shared" si="111"/>
        <v>70</v>
      </c>
      <c r="AI520" s="113"/>
    </row>
    <row r="521" spans="1:35" ht="35.25" customHeight="1" x14ac:dyDescent="0.25">
      <c r="B521" s="63"/>
      <c r="C521" s="64"/>
      <c r="D521" s="64"/>
      <c r="E521" s="12"/>
      <c r="F521" s="12"/>
      <c r="G521" s="65"/>
      <c r="H521" s="65"/>
      <c r="I521" s="65"/>
      <c r="J521" s="65"/>
      <c r="K521" s="65"/>
      <c r="L521" s="65"/>
      <c r="M521" s="65"/>
      <c r="N521" s="65"/>
      <c r="O521" s="71"/>
      <c r="P521" s="65"/>
      <c r="Q521" s="66"/>
      <c r="R521" s="97"/>
      <c r="S521" s="66"/>
      <c r="T521" s="66"/>
      <c r="U521" s="66"/>
      <c r="V521" s="66"/>
      <c r="W521" s="66"/>
      <c r="X521" s="446" t="s">
        <v>403</v>
      </c>
      <c r="Y521" s="295" t="s">
        <v>62</v>
      </c>
      <c r="Z521" s="296">
        <v>10</v>
      </c>
      <c r="AA521" s="296" t="s">
        <v>93</v>
      </c>
      <c r="AB521" s="348" t="s">
        <v>565</v>
      </c>
      <c r="AC521" s="375">
        <v>630</v>
      </c>
      <c r="AD521" s="463">
        <v>70</v>
      </c>
      <c r="AE521" s="432">
        <v>70</v>
      </c>
      <c r="AF521" s="442">
        <v>70</v>
      </c>
      <c r="AI521" s="113"/>
    </row>
    <row r="522" spans="1:35" s="73" customFormat="1" x14ac:dyDescent="0.25">
      <c r="A522" s="53"/>
      <c r="B522" s="54"/>
      <c r="C522" s="54"/>
      <c r="D522" s="56"/>
      <c r="E522" s="57"/>
      <c r="F522" s="57"/>
      <c r="G522" s="58"/>
      <c r="H522" s="58"/>
      <c r="I522" s="58"/>
      <c r="J522" s="58"/>
      <c r="K522" s="58"/>
      <c r="L522" s="58"/>
      <c r="M522" s="58"/>
      <c r="N522" s="58"/>
      <c r="O522" s="59"/>
      <c r="P522" s="58"/>
      <c r="Q522" s="60"/>
      <c r="R522" s="61"/>
      <c r="S522" s="61"/>
      <c r="T522" s="61"/>
      <c r="U522" s="61"/>
      <c r="V522" s="61"/>
      <c r="W522" s="61"/>
      <c r="X522" s="445" t="s">
        <v>12</v>
      </c>
      <c r="Y522" s="291" t="s">
        <v>62</v>
      </c>
      <c r="Z522" s="321">
        <v>11</v>
      </c>
      <c r="AA522" s="312"/>
      <c r="AB522" s="345"/>
      <c r="AC522" s="317"/>
      <c r="AD522" s="458">
        <f>AD523+AD533</f>
        <v>135733.6</v>
      </c>
      <c r="AE522" s="427">
        <f>AE523+AE533</f>
        <v>124375.9</v>
      </c>
      <c r="AF522" s="437">
        <f>AF523+AF533</f>
        <v>127463.3</v>
      </c>
      <c r="AG522" s="142"/>
      <c r="AH522" s="142"/>
      <c r="AI522" s="113"/>
    </row>
    <row r="523" spans="1:35" s="73" customFormat="1" x14ac:dyDescent="0.25">
      <c r="A523" s="53"/>
      <c r="B523" s="54"/>
      <c r="C523" s="54"/>
      <c r="D523" s="56"/>
      <c r="E523" s="57"/>
      <c r="F523" s="57"/>
      <c r="G523" s="58"/>
      <c r="H523" s="58"/>
      <c r="I523" s="58"/>
      <c r="J523" s="58"/>
      <c r="K523" s="58"/>
      <c r="L523" s="58"/>
      <c r="M523" s="58"/>
      <c r="N523" s="58"/>
      <c r="O523" s="59"/>
      <c r="P523" s="58"/>
      <c r="Q523" s="60"/>
      <c r="R523" s="61"/>
      <c r="S523" s="61"/>
      <c r="T523" s="61"/>
      <c r="U523" s="61"/>
      <c r="V523" s="61"/>
      <c r="W523" s="61"/>
      <c r="X523" s="294" t="s">
        <v>34</v>
      </c>
      <c r="Y523" s="295" t="s">
        <v>62</v>
      </c>
      <c r="Z523" s="296">
        <v>11</v>
      </c>
      <c r="AA523" s="296" t="s">
        <v>29</v>
      </c>
      <c r="AB523" s="348"/>
      <c r="AC523" s="372"/>
      <c r="AD523" s="464">
        <f t="shared" ref="AD523:AF524" si="112">AD524</f>
        <v>5319.5</v>
      </c>
      <c r="AE523" s="464">
        <f t="shared" si="112"/>
        <v>3632.9</v>
      </c>
      <c r="AF523" s="464">
        <f t="shared" si="112"/>
        <v>5239.3</v>
      </c>
      <c r="AG523" s="19"/>
      <c r="AH523" s="19"/>
      <c r="AI523" s="113"/>
    </row>
    <row r="524" spans="1:35" s="73" customFormat="1" x14ac:dyDescent="0.25">
      <c r="A524" s="53"/>
      <c r="B524" s="54"/>
      <c r="C524" s="54"/>
      <c r="D524" s="56"/>
      <c r="E524" s="57"/>
      <c r="F524" s="57"/>
      <c r="G524" s="58"/>
      <c r="H524" s="58"/>
      <c r="I524" s="58"/>
      <c r="J524" s="58"/>
      <c r="K524" s="58"/>
      <c r="L524" s="58"/>
      <c r="M524" s="58"/>
      <c r="N524" s="58"/>
      <c r="O524" s="59"/>
      <c r="P524" s="58"/>
      <c r="Q524" s="60"/>
      <c r="R524" s="61"/>
      <c r="S524" s="61"/>
      <c r="T524" s="61"/>
      <c r="U524" s="61"/>
      <c r="V524" s="61"/>
      <c r="W524" s="61"/>
      <c r="X524" s="301" t="s">
        <v>155</v>
      </c>
      <c r="Y524" s="308" t="s">
        <v>62</v>
      </c>
      <c r="Z524" s="296">
        <v>11</v>
      </c>
      <c r="AA524" s="296" t="s">
        <v>29</v>
      </c>
      <c r="AB524" s="348" t="s">
        <v>113</v>
      </c>
      <c r="AC524" s="372"/>
      <c r="AD524" s="464">
        <f t="shared" si="112"/>
        <v>5319.5</v>
      </c>
      <c r="AE524" s="433">
        <f t="shared" si="112"/>
        <v>3632.9</v>
      </c>
      <c r="AF524" s="443">
        <f t="shared" si="112"/>
        <v>5239.3</v>
      </c>
      <c r="AG524" s="19"/>
      <c r="AH524" s="19"/>
      <c r="AI524" s="113"/>
    </row>
    <row r="525" spans="1:35" s="73" customFormat="1" x14ac:dyDescent="0.25">
      <c r="A525" s="53"/>
      <c r="B525" s="54"/>
      <c r="C525" s="54"/>
      <c r="D525" s="56"/>
      <c r="E525" s="57"/>
      <c r="F525" s="57"/>
      <c r="G525" s="58"/>
      <c r="H525" s="58"/>
      <c r="I525" s="58"/>
      <c r="J525" s="58"/>
      <c r="K525" s="58"/>
      <c r="L525" s="58"/>
      <c r="M525" s="58"/>
      <c r="N525" s="58"/>
      <c r="O525" s="59"/>
      <c r="P525" s="58"/>
      <c r="Q525" s="60"/>
      <c r="R525" s="61"/>
      <c r="S525" s="61"/>
      <c r="T525" s="61"/>
      <c r="U525" s="61"/>
      <c r="V525" s="61"/>
      <c r="W525" s="61"/>
      <c r="X525" s="301" t="s">
        <v>156</v>
      </c>
      <c r="Y525" s="308" t="s">
        <v>62</v>
      </c>
      <c r="Z525" s="296">
        <v>11</v>
      </c>
      <c r="AA525" s="296" t="s">
        <v>29</v>
      </c>
      <c r="AB525" s="348" t="s">
        <v>117</v>
      </c>
      <c r="AC525" s="372"/>
      <c r="AD525" s="464">
        <f t="shared" ref="AD525:AF526" si="113">AD526</f>
        <v>5319.5</v>
      </c>
      <c r="AE525" s="433">
        <f t="shared" si="113"/>
        <v>3632.9</v>
      </c>
      <c r="AF525" s="443">
        <f t="shared" si="113"/>
        <v>5239.3</v>
      </c>
      <c r="AG525" s="19"/>
      <c r="AH525" s="19"/>
      <c r="AI525" s="113"/>
    </row>
    <row r="526" spans="1:35" s="73" customFormat="1" ht="31.5" x14ac:dyDescent="0.25">
      <c r="A526" s="53"/>
      <c r="B526" s="54"/>
      <c r="C526" s="54"/>
      <c r="D526" s="56"/>
      <c r="E526" s="57"/>
      <c r="F526" s="57"/>
      <c r="G526" s="58"/>
      <c r="H526" s="58"/>
      <c r="I526" s="58"/>
      <c r="J526" s="58"/>
      <c r="K526" s="58"/>
      <c r="L526" s="58"/>
      <c r="M526" s="58"/>
      <c r="N526" s="58"/>
      <c r="O526" s="59"/>
      <c r="P526" s="58"/>
      <c r="Q526" s="60"/>
      <c r="R526" s="61"/>
      <c r="S526" s="61"/>
      <c r="T526" s="61"/>
      <c r="U526" s="61"/>
      <c r="V526" s="61"/>
      <c r="W526" s="61"/>
      <c r="X526" s="301" t="s">
        <v>734</v>
      </c>
      <c r="Y526" s="308" t="s">
        <v>62</v>
      </c>
      <c r="Z526" s="296">
        <v>11</v>
      </c>
      <c r="AA526" s="296" t="s">
        <v>29</v>
      </c>
      <c r="AB526" s="348" t="s">
        <v>127</v>
      </c>
      <c r="AC526" s="372"/>
      <c r="AD526" s="464">
        <f t="shared" si="113"/>
        <v>5319.5</v>
      </c>
      <c r="AE526" s="433">
        <f t="shared" si="113"/>
        <v>3632.9</v>
      </c>
      <c r="AF526" s="443">
        <f t="shared" si="113"/>
        <v>5239.3</v>
      </c>
      <c r="AG526" s="19"/>
      <c r="AH526" s="19"/>
      <c r="AI526" s="113"/>
    </row>
    <row r="527" spans="1:35" s="73" customFormat="1" ht="31.5" x14ac:dyDescent="0.25">
      <c r="A527" s="53"/>
      <c r="B527" s="54"/>
      <c r="C527" s="54"/>
      <c r="D527" s="56"/>
      <c r="E527" s="57"/>
      <c r="F527" s="57"/>
      <c r="G527" s="58"/>
      <c r="H527" s="58"/>
      <c r="I527" s="58"/>
      <c r="J527" s="58"/>
      <c r="K527" s="58"/>
      <c r="L527" s="58"/>
      <c r="M527" s="58"/>
      <c r="N527" s="58"/>
      <c r="O527" s="59"/>
      <c r="P527" s="58"/>
      <c r="Q527" s="60"/>
      <c r="R527" s="61"/>
      <c r="S527" s="61"/>
      <c r="T527" s="61"/>
      <c r="U527" s="61"/>
      <c r="V527" s="61"/>
      <c r="W527" s="61"/>
      <c r="X527" s="449" t="s">
        <v>519</v>
      </c>
      <c r="Y527" s="308" t="s">
        <v>62</v>
      </c>
      <c r="Z527" s="296">
        <v>11</v>
      </c>
      <c r="AA527" s="296" t="s">
        <v>29</v>
      </c>
      <c r="AB527" s="348" t="s">
        <v>158</v>
      </c>
      <c r="AC527" s="317"/>
      <c r="AD527" s="464">
        <f>AD528+AD530</f>
        <v>5319.5</v>
      </c>
      <c r="AE527" s="433">
        <f>AE528+AE530</f>
        <v>3632.9</v>
      </c>
      <c r="AF527" s="443">
        <f>AF528+AF530</f>
        <v>5239.3</v>
      </c>
      <c r="AG527" s="19"/>
      <c r="AH527" s="19"/>
      <c r="AI527" s="113"/>
    </row>
    <row r="528" spans="1:35" s="73" customFormat="1" x14ac:dyDescent="0.25">
      <c r="A528" s="53"/>
      <c r="B528" s="54"/>
      <c r="C528" s="54"/>
      <c r="D528" s="56"/>
      <c r="E528" s="57"/>
      <c r="F528" s="57"/>
      <c r="G528" s="58"/>
      <c r="H528" s="58"/>
      <c r="I528" s="58"/>
      <c r="J528" s="58"/>
      <c r="K528" s="58"/>
      <c r="L528" s="58"/>
      <c r="M528" s="58"/>
      <c r="N528" s="58"/>
      <c r="O528" s="59"/>
      <c r="P528" s="58"/>
      <c r="Q528" s="60"/>
      <c r="R528" s="61"/>
      <c r="S528" s="61"/>
      <c r="T528" s="61"/>
      <c r="U528" s="61"/>
      <c r="V528" s="61"/>
      <c r="W528" s="61"/>
      <c r="X528" s="294" t="s">
        <v>118</v>
      </c>
      <c r="Y528" s="295" t="s">
        <v>62</v>
      </c>
      <c r="Z528" s="296">
        <v>11</v>
      </c>
      <c r="AA528" s="296" t="s">
        <v>29</v>
      </c>
      <c r="AB528" s="348" t="s">
        <v>158</v>
      </c>
      <c r="AC528" s="297">
        <v>200</v>
      </c>
      <c r="AD528" s="464">
        <f>AD529</f>
        <v>3649.5</v>
      </c>
      <c r="AE528" s="433">
        <f>AE529</f>
        <v>2857.9</v>
      </c>
      <c r="AF528" s="443">
        <f>AF529</f>
        <v>3239.3</v>
      </c>
      <c r="AG528" s="19"/>
      <c r="AH528" s="19"/>
      <c r="AI528" s="113"/>
    </row>
    <row r="529" spans="1:35" s="73" customFormat="1" ht="31.5" x14ac:dyDescent="0.25">
      <c r="A529" s="53"/>
      <c r="B529" s="54"/>
      <c r="C529" s="54"/>
      <c r="D529" s="56"/>
      <c r="E529" s="57"/>
      <c r="F529" s="57"/>
      <c r="G529" s="58"/>
      <c r="H529" s="58"/>
      <c r="I529" s="58"/>
      <c r="J529" s="58"/>
      <c r="K529" s="58"/>
      <c r="L529" s="58"/>
      <c r="M529" s="58"/>
      <c r="N529" s="58"/>
      <c r="O529" s="59"/>
      <c r="P529" s="58"/>
      <c r="Q529" s="60"/>
      <c r="R529" s="61"/>
      <c r="S529" s="61"/>
      <c r="T529" s="61"/>
      <c r="U529" s="61"/>
      <c r="V529" s="61"/>
      <c r="W529" s="61"/>
      <c r="X529" s="294" t="s">
        <v>51</v>
      </c>
      <c r="Y529" s="295" t="s">
        <v>62</v>
      </c>
      <c r="Z529" s="296">
        <v>11</v>
      </c>
      <c r="AA529" s="296" t="s">
        <v>29</v>
      </c>
      <c r="AB529" s="348" t="s">
        <v>158</v>
      </c>
      <c r="AC529" s="297">
        <v>240</v>
      </c>
      <c r="AD529" s="464">
        <f>3500-775+1819.5-425-470</f>
        <v>3649.5</v>
      </c>
      <c r="AE529" s="433">
        <f>3632.9-775</f>
        <v>2857.9</v>
      </c>
      <c r="AF529" s="443">
        <f>8990-3750.7-2000</f>
        <v>3239.3</v>
      </c>
      <c r="AG529" s="19"/>
      <c r="AH529" s="19"/>
      <c r="AI529" s="113"/>
    </row>
    <row r="530" spans="1:35" s="73" customFormat="1" ht="31.5" x14ac:dyDescent="0.25">
      <c r="A530" s="53"/>
      <c r="B530" s="54"/>
      <c r="C530" s="54"/>
      <c r="D530" s="56"/>
      <c r="E530" s="57"/>
      <c r="F530" s="57"/>
      <c r="G530" s="58"/>
      <c r="H530" s="58"/>
      <c r="I530" s="58"/>
      <c r="J530" s="58"/>
      <c r="K530" s="58"/>
      <c r="L530" s="58"/>
      <c r="M530" s="58"/>
      <c r="N530" s="58"/>
      <c r="O530" s="59"/>
      <c r="P530" s="58"/>
      <c r="Q530" s="60"/>
      <c r="R530" s="61"/>
      <c r="S530" s="61"/>
      <c r="T530" s="61"/>
      <c r="U530" s="61"/>
      <c r="V530" s="61"/>
      <c r="W530" s="61"/>
      <c r="X530" s="446" t="s">
        <v>59</v>
      </c>
      <c r="Y530" s="295" t="s">
        <v>62</v>
      </c>
      <c r="Z530" s="296">
        <v>11</v>
      </c>
      <c r="AA530" s="296" t="s">
        <v>29</v>
      </c>
      <c r="AB530" s="348" t="s">
        <v>158</v>
      </c>
      <c r="AC530" s="297">
        <v>600</v>
      </c>
      <c r="AD530" s="464">
        <f>AD531+AD532</f>
        <v>1670</v>
      </c>
      <c r="AE530" s="433">
        <f>AE531+AE532</f>
        <v>775</v>
      </c>
      <c r="AF530" s="443">
        <f>AF531+AF532</f>
        <v>2000</v>
      </c>
      <c r="AG530" s="19"/>
      <c r="AH530" s="19"/>
      <c r="AI530" s="113"/>
    </row>
    <row r="531" spans="1:35" s="73" customFormat="1" x14ac:dyDescent="0.25">
      <c r="A531" s="53"/>
      <c r="B531" s="54"/>
      <c r="C531" s="54"/>
      <c r="D531" s="56"/>
      <c r="E531" s="57"/>
      <c r="F531" s="57"/>
      <c r="G531" s="58"/>
      <c r="H531" s="58"/>
      <c r="I531" s="58"/>
      <c r="J531" s="58"/>
      <c r="K531" s="58"/>
      <c r="L531" s="58"/>
      <c r="M531" s="58"/>
      <c r="N531" s="58"/>
      <c r="O531" s="59"/>
      <c r="P531" s="58"/>
      <c r="Q531" s="60"/>
      <c r="R531" s="61"/>
      <c r="S531" s="61"/>
      <c r="T531" s="61"/>
      <c r="U531" s="61"/>
      <c r="V531" s="61"/>
      <c r="W531" s="61"/>
      <c r="X531" s="294" t="s">
        <v>60</v>
      </c>
      <c r="Y531" s="295" t="s">
        <v>62</v>
      </c>
      <c r="Z531" s="296">
        <v>11</v>
      </c>
      <c r="AA531" s="296" t="s">
        <v>29</v>
      </c>
      <c r="AB531" s="348" t="s">
        <v>158</v>
      </c>
      <c r="AC531" s="297">
        <v>610</v>
      </c>
      <c r="AD531" s="464">
        <v>450</v>
      </c>
      <c r="AE531" s="433">
        <v>450</v>
      </c>
      <c r="AF531" s="443">
        <v>1162</v>
      </c>
      <c r="AG531" s="19"/>
      <c r="AH531" s="19"/>
      <c r="AI531" s="113"/>
    </row>
    <row r="532" spans="1:35" s="73" customFormat="1" x14ac:dyDescent="0.25">
      <c r="A532" s="53"/>
      <c r="B532" s="54"/>
      <c r="C532" s="54"/>
      <c r="D532" s="56"/>
      <c r="E532" s="57"/>
      <c r="F532" s="57"/>
      <c r="G532" s="58"/>
      <c r="H532" s="58"/>
      <c r="I532" s="58"/>
      <c r="J532" s="58"/>
      <c r="K532" s="58"/>
      <c r="L532" s="58"/>
      <c r="M532" s="58"/>
      <c r="N532" s="58"/>
      <c r="O532" s="59"/>
      <c r="P532" s="58"/>
      <c r="Q532" s="60"/>
      <c r="R532" s="61"/>
      <c r="S532" s="61"/>
      <c r="T532" s="61"/>
      <c r="U532" s="61"/>
      <c r="V532" s="61"/>
      <c r="W532" s="61"/>
      <c r="X532" s="450" t="s">
        <v>128</v>
      </c>
      <c r="Y532" s="295" t="s">
        <v>62</v>
      </c>
      <c r="Z532" s="296">
        <v>11</v>
      </c>
      <c r="AA532" s="296" t="s">
        <v>29</v>
      </c>
      <c r="AB532" s="348" t="s">
        <v>158</v>
      </c>
      <c r="AC532" s="297">
        <v>620</v>
      </c>
      <c r="AD532" s="464">
        <f>325+425+470</f>
        <v>1220</v>
      </c>
      <c r="AE532" s="433">
        <v>325</v>
      </c>
      <c r="AF532" s="443">
        <v>838</v>
      </c>
      <c r="AG532" s="19"/>
      <c r="AH532" s="19"/>
      <c r="AI532" s="113"/>
    </row>
    <row r="533" spans="1:35" s="73" customFormat="1" x14ac:dyDescent="0.25">
      <c r="A533" s="53"/>
      <c r="B533" s="54"/>
      <c r="C533" s="54"/>
      <c r="D533" s="56"/>
      <c r="E533" s="57"/>
      <c r="F533" s="57"/>
      <c r="G533" s="58"/>
      <c r="H533" s="58"/>
      <c r="I533" s="58"/>
      <c r="J533" s="58"/>
      <c r="K533" s="58"/>
      <c r="L533" s="58"/>
      <c r="M533" s="58"/>
      <c r="N533" s="58"/>
      <c r="O533" s="59"/>
      <c r="P533" s="58"/>
      <c r="Q533" s="60"/>
      <c r="R533" s="61"/>
      <c r="S533" s="61"/>
      <c r="T533" s="61"/>
      <c r="U533" s="61"/>
      <c r="V533" s="61"/>
      <c r="W533" s="61"/>
      <c r="X533" s="450" t="s">
        <v>589</v>
      </c>
      <c r="Y533" s="295" t="s">
        <v>62</v>
      </c>
      <c r="Z533" s="296">
        <v>11</v>
      </c>
      <c r="AA533" s="296" t="s">
        <v>6</v>
      </c>
      <c r="AB533" s="348"/>
      <c r="AC533" s="372"/>
      <c r="AD533" s="464">
        <f t="shared" ref="AD533:AD538" si="114">AD534</f>
        <v>130414.1</v>
      </c>
      <c r="AE533" s="433">
        <f t="shared" ref="AE533:AF538" si="115">AE534</f>
        <v>120743</v>
      </c>
      <c r="AF533" s="443">
        <f t="shared" si="115"/>
        <v>122224</v>
      </c>
      <c r="AG533" s="19"/>
      <c r="AH533" s="19"/>
      <c r="AI533" s="113"/>
    </row>
    <row r="534" spans="1:35" s="73" customFormat="1" x14ac:dyDescent="0.25">
      <c r="A534" s="53"/>
      <c r="B534" s="54"/>
      <c r="C534" s="54"/>
      <c r="D534" s="56"/>
      <c r="E534" s="57"/>
      <c r="F534" s="57"/>
      <c r="G534" s="58"/>
      <c r="H534" s="58"/>
      <c r="I534" s="58"/>
      <c r="J534" s="58"/>
      <c r="K534" s="58"/>
      <c r="L534" s="58"/>
      <c r="M534" s="58"/>
      <c r="N534" s="58"/>
      <c r="O534" s="59"/>
      <c r="P534" s="58"/>
      <c r="Q534" s="60"/>
      <c r="R534" s="61"/>
      <c r="S534" s="61"/>
      <c r="T534" s="61"/>
      <c r="U534" s="61"/>
      <c r="V534" s="61"/>
      <c r="W534" s="61"/>
      <c r="X534" s="301" t="s">
        <v>155</v>
      </c>
      <c r="Y534" s="295" t="s">
        <v>62</v>
      </c>
      <c r="Z534" s="296">
        <v>11</v>
      </c>
      <c r="AA534" s="296" t="s">
        <v>6</v>
      </c>
      <c r="AB534" s="348" t="s">
        <v>113</v>
      </c>
      <c r="AC534" s="372"/>
      <c r="AD534" s="464">
        <f t="shared" si="114"/>
        <v>130414.1</v>
      </c>
      <c r="AE534" s="433">
        <f t="shared" si="115"/>
        <v>120743</v>
      </c>
      <c r="AF534" s="443">
        <f t="shared" si="115"/>
        <v>122224</v>
      </c>
      <c r="AG534" s="19"/>
      <c r="AH534" s="19"/>
      <c r="AI534" s="113"/>
    </row>
    <row r="535" spans="1:35" s="73" customFormat="1" x14ac:dyDescent="0.25">
      <c r="A535" s="53"/>
      <c r="B535" s="54"/>
      <c r="C535" s="54"/>
      <c r="D535" s="56"/>
      <c r="E535" s="57"/>
      <c r="F535" s="57"/>
      <c r="G535" s="58"/>
      <c r="H535" s="58"/>
      <c r="I535" s="58"/>
      <c r="J535" s="58"/>
      <c r="K535" s="58"/>
      <c r="L535" s="58"/>
      <c r="M535" s="58"/>
      <c r="N535" s="58"/>
      <c r="O535" s="59"/>
      <c r="P535" s="58"/>
      <c r="Q535" s="60"/>
      <c r="R535" s="61"/>
      <c r="S535" s="61"/>
      <c r="T535" s="61"/>
      <c r="U535" s="61"/>
      <c r="V535" s="61"/>
      <c r="W535" s="61"/>
      <c r="X535" s="450" t="s">
        <v>590</v>
      </c>
      <c r="Y535" s="308" t="s">
        <v>62</v>
      </c>
      <c r="Z535" s="296">
        <v>11</v>
      </c>
      <c r="AA535" s="296" t="s">
        <v>6</v>
      </c>
      <c r="AB535" s="348" t="s">
        <v>591</v>
      </c>
      <c r="AC535" s="372"/>
      <c r="AD535" s="464">
        <f>AD536+AD540</f>
        <v>130414.1</v>
      </c>
      <c r="AE535" s="433">
        <f t="shared" si="115"/>
        <v>120743</v>
      </c>
      <c r="AF535" s="443">
        <f t="shared" si="115"/>
        <v>122224</v>
      </c>
      <c r="AG535" s="19"/>
      <c r="AH535" s="19"/>
      <c r="AI535" s="113"/>
    </row>
    <row r="536" spans="1:35" s="73" customFormat="1" x14ac:dyDescent="0.25">
      <c r="A536" s="53"/>
      <c r="B536" s="54"/>
      <c r="C536" s="54"/>
      <c r="D536" s="56"/>
      <c r="E536" s="57"/>
      <c r="F536" s="57"/>
      <c r="G536" s="58"/>
      <c r="H536" s="58"/>
      <c r="I536" s="58"/>
      <c r="J536" s="58"/>
      <c r="K536" s="58"/>
      <c r="L536" s="58"/>
      <c r="M536" s="58"/>
      <c r="N536" s="58"/>
      <c r="O536" s="59"/>
      <c r="P536" s="58"/>
      <c r="Q536" s="60"/>
      <c r="R536" s="61"/>
      <c r="S536" s="61"/>
      <c r="T536" s="61"/>
      <c r="U536" s="61"/>
      <c r="V536" s="61"/>
      <c r="W536" s="61"/>
      <c r="X536" s="450" t="s">
        <v>593</v>
      </c>
      <c r="Y536" s="308" t="s">
        <v>62</v>
      </c>
      <c r="Z536" s="296">
        <v>11</v>
      </c>
      <c r="AA536" s="296" t="s">
        <v>6</v>
      </c>
      <c r="AB536" s="348" t="s">
        <v>592</v>
      </c>
      <c r="AC536" s="372"/>
      <c r="AD536" s="464">
        <f>AD537</f>
        <v>127466.1</v>
      </c>
      <c r="AE536" s="433">
        <f t="shared" si="115"/>
        <v>120743</v>
      </c>
      <c r="AF536" s="443">
        <f t="shared" si="115"/>
        <v>122224</v>
      </c>
      <c r="AG536" s="19"/>
      <c r="AH536" s="19"/>
      <c r="AI536" s="113"/>
    </row>
    <row r="537" spans="1:35" s="73" customFormat="1" ht="31.5" x14ac:dyDescent="0.25">
      <c r="A537" s="53"/>
      <c r="B537" s="54"/>
      <c r="C537" s="54"/>
      <c r="D537" s="56"/>
      <c r="E537" s="57"/>
      <c r="F537" s="57"/>
      <c r="G537" s="58"/>
      <c r="H537" s="58"/>
      <c r="I537" s="58"/>
      <c r="J537" s="58"/>
      <c r="K537" s="58"/>
      <c r="L537" s="58"/>
      <c r="M537" s="58"/>
      <c r="N537" s="58"/>
      <c r="O537" s="59"/>
      <c r="P537" s="58"/>
      <c r="Q537" s="60"/>
      <c r="R537" s="61"/>
      <c r="S537" s="61"/>
      <c r="T537" s="61"/>
      <c r="U537" s="61"/>
      <c r="V537" s="61"/>
      <c r="W537" s="61"/>
      <c r="X537" s="450" t="s">
        <v>595</v>
      </c>
      <c r="Y537" s="308" t="s">
        <v>62</v>
      </c>
      <c r="Z537" s="296">
        <v>11</v>
      </c>
      <c r="AA537" s="296" t="s">
        <v>6</v>
      </c>
      <c r="AB537" s="348" t="s">
        <v>594</v>
      </c>
      <c r="AC537" s="372"/>
      <c r="AD537" s="464">
        <f t="shared" si="114"/>
        <v>127466.1</v>
      </c>
      <c r="AE537" s="433">
        <f t="shared" si="115"/>
        <v>120743</v>
      </c>
      <c r="AF537" s="443">
        <f t="shared" si="115"/>
        <v>122224</v>
      </c>
      <c r="AG537" s="19"/>
      <c r="AH537" s="19"/>
      <c r="AI537" s="113"/>
    </row>
    <row r="538" spans="1:35" s="73" customFormat="1" ht="31.5" x14ac:dyDescent="0.25">
      <c r="A538" s="53"/>
      <c r="B538" s="54"/>
      <c r="C538" s="54"/>
      <c r="D538" s="56"/>
      <c r="E538" s="57"/>
      <c r="F538" s="57"/>
      <c r="G538" s="58"/>
      <c r="H538" s="58"/>
      <c r="I538" s="58"/>
      <c r="J538" s="58"/>
      <c r="K538" s="58"/>
      <c r="L538" s="58"/>
      <c r="M538" s="58"/>
      <c r="N538" s="58"/>
      <c r="O538" s="59"/>
      <c r="P538" s="58"/>
      <c r="Q538" s="60"/>
      <c r="R538" s="61"/>
      <c r="S538" s="61"/>
      <c r="T538" s="61"/>
      <c r="U538" s="61"/>
      <c r="V538" s="61"/>
      <c r="W538" s="61"/>
      <c r="X538" s="294" t="s">
        <v>59</v>
      </c>
      <c r="Y538" s="308" t="s">
        <v>62</v>
      </c>
      <c r="Z538" s="296">
        <v>11</v>
      </c>
      <c r="AA538" s="296" t="s">
        <v>6</v>
      </c>
      <c r="AB538" s="348" t="s">
        <v>594</v>
      </c>
      <c r="AC538" s="372">
        <v>600</v>
      </c>
      <c r="AD538" s="464">
        <f t="shared" si="114"/>
        <v>127466.1</v>
      </c>
      <c r="AE538" s="433">
        <f t="shared" si="115"/>
        <v>120743</v>
      </c>
      <c r="AF538" s="443">
        <f t="shared" si="115"/>
        <v>122224</v>
      </c>
      <c r="AG538" s="19"/>
      <c r="AH538" s="19"/>
      <c r="AI538" s="113"/>
    </row>
    <row r="539" spans="1:35" s="73" customFormat="1" x14ac:dyDescent="0.25">
      <c r="A539" s="53"/>
      <c r="B539" s="54"/>
      <c r="C539" s="54"/>
      <c r="D539" s="56"/>
      <c r="E539" s="57"/>
      <c r="F539" s="57"/>
      <c r="G539" s="58"/>
      <c r="H539" s="58"/>
      <c r="I539" s="58"/>
      <c r="J539" s="58"/>
      <c r="K539" s="58"/>
      <c r="L539" s="58"/>
      <c r="M539" s="58"/>
      <c r="N539" s="58"/>
      <c r="O539" s="59"/>
      <c r="P539" s="58"/>
      <c r="Q539" s="60"/>
      <c r="R539" s="61"/>
      <c r="S539" s="61"/>
      <c r="T539" s="61"/>
      <c r="U539" s="61"/>
      <c r="V539" s="61"/>
      <c r="W539" s="61"/>
      <c r="X539" s="450" t="s">
        <v>128</v>
      </c>
      <c r="Y539" s="308" t="s">
        <v>62</v>
      </c>
      <c r="Z539" s="296">
        <v>11</v>
      </c>
      <c r="AA539" s="296" t="s">
        <v>6</v>
      </c>
      <c r="AB539" s="348" t="s">
        <v>594</v>
      </c>
      <c r="AC539" s="372">
        <v>620</v>
      </c>
      <c r="AD539" s="464">
        <f>124505.5+1160.6+1800</f>
        <v>127466.1</v>
      </c>
      <c r="AE539" s="433">
        <v>120743</v>
      </c>
      <c r="AF539" s="443">
        <v>122224</v>
      </c>
      <c r="AG539" s="19"/>
      <c r="AH539" s="19"/>
      <c r="AI539" s="113"/>
    </row>
    <row r="540" spans="1:35" s="73" customFormat="1" ht="34.5" customHeight="1" x14ac:dyDescent="0.25">
      <c r="A540" s="53"/>
      <c r="B540" s="54"/>
      <c r="C540" s="54"/>
      <c r="D540" s="56"/>
      <c r="E540" s="57"/>
      <c r="F540" s="57"/>
      <c r="G540" s="58"/>
      <c r="H540" s="58"/>
      <c r="I540" s="58"/>
      <c r="J540" s="58"/>
      <c r="K540" s="58"/>
      <c r="L540" s="58"/>
      <c r="M540" s="58"/>
      <c r="N540" s="58"/>
      <c r="O540" s="59"/>
      <c r="P540" s="58"/>
      <c r="Q540" s="60"/>
      <c r="R540" s="61"/>
      <c r="S540" s="61"/>
      <c r="T540" s="61"/>
      <c r="U540" s="61"/>
      <c r="V540" s="61"/>
      <c r="W540" s="61"/>
      <c r="X540" s="450" t="s">
        <v>898</v>
      </c>
      <c r="Y540" s="308" t="s">
        <v>62</v>
      </c>
      <c r="Z540" s="296">
        <v>11</v>
      </c>
      <c r="AA540" s="296" t="s">
        <v>6</v>
      </c>
      <c r="AB540" s="348" t="s">
        <v>900</v>
      </c>
      <c r="AC540" s="372"/>
      <c r="AD540" s="464">
        <f>AD541</f>
        <v>2948</v>
      </c>
      <c r="AE540" s="464">
        <f t="shared" ref="AE540:AF542" si="116">AE541</f>
        <v>0</v>
      </c>
      <c r="AF540" s="464">
        <f t="shared" si="116"/>
        <v>0</v>
      </c>
      <c r="AG540" s="19"/>
      <c r="AH540" s="19"/>
      <c r="AI540" s="113"/>
    </row>
    <row r="541" spans="1:35" s="73" customFormat="1" ht="31.5" customHeight="1" x14ac:dyDescent="0.25">
      <c r="A541" s="53"/>
      <c r="B541" s="54"/>
      <c r="C541" s="54"/>
      <c r="D541" s="56"/>
      <c r="E541" s="57"/>
      <c r="F541" s="57"/>
      <c r="G541" s="58"/>
      <c r="H541" s="58"/>
      <c r="I541" s="58"/>
      <c r="J541" s="58"/>
      <c r="K541" s="58"/>
      <c r="L541" s="58"/>
      <c r="M541" s="58"/>
      <c r="N541" s="58"/>
      <c r="O541" s="59"/>
      <c r="P541" s="58"/>
      <c r="Q541" s="60"/>
      <c r="R541" s="61"/>
      <c r="S541" s="61"/>
      <c r="T541" s="61"/>
      <c r="U541" s="61"/>
      <c r="V541" s="61"/>
      <c r="W541" s="61"/>
      <c r="X541" s="450" t="s">
        <v>893</v>
      </c>
      <c r="Y541" s="308" t="s">
        <v>62</v>
      </c>
      <c r="Z541" s="296">
        <v>11</v>
      </c>
      <c r="AA541" s="296" t="s">
        <v>6</v>
      </c>
      <c r="AB541" s="348" t="s">
        <v>899</v>
      </c>
      <c r="AC541" s="372"/>
      <c r="AD541" s="464">
        <f>AD542</f>
        <v>2948</v>
      </c>
      <c r="AE541" s="464">
        <f t="shared" si="116"/>
        <v>0</v>
      </c>
      <c r="AF541" s="464">
        <f t="shared" si="116"/>
        <v>0</v>
      </c>
      <c r="AG541" s="19"/>
      <c r="AH541" s="19"/>
      <c r="AI541" s="113"/>
    </row>
    <row r="542" spans="1:35" s="73" customFormat="1" ht="31.5" x14ac:dyDescent="0.25">
      <c r="A542" s="53"/>
      <c r="B542" s="54"/>
      <c r="C542" s="54"/>
      <c r="D542" s="56"/>
      <c r="E542" s="57"/>
      <c r="F542" s="57"/>
      <c r="G542" s="58"/>
      <c r="H542" s="58"/>
      <c r="I542" s="58"/>
      <c r="J542" s="58"/>
      <c r="K542" s="58"/>
      <c r="L542" s="58"/>
      <c r="M542" s="58"/>
      <c r="N542" s="58"/>
      <c r="O542" s="59"/>
      <c r="P542" s="58"/>
      <c r="Q542" s="60"/>
      <c r="R542" s="61"/>
      <c r="S542" s="61"/>
      <c r="T542" s="61"/>
      <c r="U542" s="61"/>
      <c r="V542" s="61"/>
      <c r="W542" s="61"/>
      <c r="X542" s="294" t="s">
        <v>59</v>
      </c>
      <c r="Y542" s="308" t="s">
        <v>62</v>
      </c>
      <c r="Z542" s="296">
        <v>11</v>
      </c>
      <c r="AA542" s="296" t="s">
        <v>6</v>
      </c>
      <c r="AB542" s="348" t="s">
        <v>899</v>
      </c>
      <c r="AC542" s="372">
        <v>600</v>
      </c>
      <c r="AD542" s="464">
        <f>AD543</f>
        <v>2948</v>
      </c>
      <c r="AE542" s="464">
        <f t="shared" si="116"/>
        <v>0</v>
      </c>
      <c r="AF542" s="464">
        <f t="shared" si="116"/>
        <v>0</v>
      </c>
      <c r="AG542" s="19"/>
      <c r="AH542" s="19"/>
      <c r="AI542" s="113"/>
    </row>
    <row r="543" spans="1:35" s="73" customFormat="1" x14ac:dyDescent="0.25">
      <c r="A543" s="53"/>
      <c r="B543" s="54"/>
      <c r="C543" s="54"/>
      <c r="D543" s="56"/>
      <c r="E543" s="57"/>
      <c r="F543" s="57"/>
      <c r="G543" s="58"/>
      <c r="H543" s="58"/>
      <c r="I543" s="58"/>
      <c r="J543" s="58"/>
      <c r="K543" s="58"/>
      <c r="L543" s="58"/>
      <c r="M543" s="58"/>
      <c r="N543" s="58"/>
      <c r="O543" s="59"/>
      <c r="P543" s="58"/>
      <c r="Q543" s="60"/>
      <c r="R543" s="61"/>
      <c r="S543" s="61"/>
      <c r="T543" s="61"/>
      <c r="U543" s="61"/>
      <c r="V543" s="61"/>
      <c r="W543" s="61"/>
      <c r="X543" s="450" t="s">
        <v>128</v>
      </c>
      <c r="Y543" s="308" t="s">
        <v>62</v>
      </c>
      <c r="Z543" s="296">
        <v>11</v>
      </c>
      <c r="AA543" s="296" t="s">
        <v>6</v>
      </c>
      <c r="AB543" s="348" t="s">
        <v>899</v>
      </c>
      <c r="AC543" s="372">
        <v>620</v>
      </c>
      <c r="AD543" s="464">
        <v>2948</v>
      </c>
      <c r="AE543" s="433">
        <v>0</v>
      </c>
      <c r="AF543" s="443">
        <v>0</v>
      </c>
      <c r="AG543" s="19"/>
      <c r="AH543" s="19"/>
      <c r="AI543" s="113"/>
    </row>
    <row r="544" spans="1:35" s="73" customFormat="1" x14ac:dyDescent="0.25">
      <c r="A544" s="53"/>
      <c r="B544" s="54"/>
      <c r="C544" s="54"/>
      <c r="D544" s="56"/>
      <c r="E544" s="57"/>
      <c r="F544" s="57"/>
      <c r="G544" s="58"/>
      <c r="H544" s="58"/>
      <c r="I544" s="58"/>
      <c r="J544" s="58"/>
      <c r="K544" s="58"/>
      <c r="L544" s="58"/>
      <c r="M544" s="58"/>
      <c r="N544" s="58"/>
      <c r="O544" s="59"/>
      <c r="P544" s="58"/>
      <c r="Q544" s="60"/>
      <c r="R544" s="61"/>
      <c r="S544" s="61"/>
      <c r="T544" s="61"/>
      <c r="U544" s="61"/>
      <c r="V544" s="61"/>
      <c r="W544" s="61"/>
      <c r="X544" s="445" t="s">
        <v>432</v>
      </c>
      <c r="Y544" s="490" t="s">
        <v>62</v>
      </c>
      <c r="Z544" s="321">
        <v>13</v>
      </c>
      <c r="AA544" s="312"/>
      <c r="AB544" s="345"/>
      <c r="AC544" s="317"/>
      <c r="AD544" s="458">
        <f>AD545</f>
        <v>307</v>
      </c>
      <c r="AE544" s="427">
        <f>AE545</f>
        <v>40146.5</v>
      </c>
      <c r="AF544" s="437">
        <f>AF545</f>
        <v>53573.599999999999</v>
      </c>
      <c r="AG544" s="142"/>
      <c r="AH544" s="142"/>
      <c r="AI544" s="113"/>
    </row>
    <row r="545" spans="1:35" x14ac:dyDescent="0.25">
      <c r="B545" s="63"/>
      <c r="C545" s="63"/>
      <c r="D545" s="64"/>
      <c r="E545" s="64"/>
      <c r="F545" s="64"/>
      <c r="G545" s="98"/>
      <c r="H545" s="98"/>
      <c r="I545" s="98"/>
      <c r="J545" s="98"/>
      <c r="K545" s="98"/>
      <c r="L545" s="58"/>
      <c r="M545" s="98"/>
      <c r="N545" s="58"/>
      <c r="P545" s="98"/>
      <c r="Q545" s="66"/>
      <c r="R545" s="11"/>
      <c r="S545" s="11"/>
      <c r="T545" s="11"/>
      <c r="U545" s="11"/>
      <c r="V545" s="11"/>
      <c r="W545" s="11"/>
      <c r="X545" s="294" t="s">
        <v>433</v>
      </c>
      <c r="Y545" s="295" t="s">
        <v>62</v>
      </c>
      <c r="Z545" s="315">
        <v>13</v>
      </c>
      <c r="AA545" s="296" t="s">
        <v>28</v>
      </c>
      <c r="AB545" s="351"/>
      <c r="AC545" s="297"/>
      <c r="AD545" s="459">
        <f>AD549</f>
        <v>307</v>
      </c>
      <c r="AE545" s="428">
        <f>AE549</f>
        <v>40146.5</v>
      </c>
      <c r="AF545" s="438">
        <f>AF549</f>
        <v>53573.599999999999</v>
      </c>
      <c r="AG545" s="19"/>
      <c r="AH545" s="19"/>
      <c r="AI545" s="113"/>
    </row>
    <row r="546" spans="1:35" x14ac:dyDescent="0.25">
      <c r="B546" s="63"/>
      <c r="C546" s="63"/>
      <c r="D546" s="64"/>
      <c r="E546" s="64"/>
      <c r="F546" s="64"/>
      <c r="G546" s="98"/>
      <c r="H546" s="98"/>
      <c r="I546" s="98"/>
      <c r="J546" s="98"/>
      <c r="K546" s="98"/>
      <c r="L546" s="58"/>
      <c r="M546" s="98"/>
      <c r="N546" s="58"/>
      <c r="P546" s="98"/>
      <c r="Q546" s="66"/>
      <c r="R546" s="11"/>
      <c r="S546" s="11"/>
      <c r="T546" s="11"/>
      <c r="U546" s="11"/>
      <c r="V546" s="11"/>
      <c r="W546" s="11"/>
      <c r="X546" s="299" t="s">
        <v>184</v>
      </c>
      <c r="Y546" s="295" t="s">
        <v>62</v>
      </c>
      <c r="Z546" s="315">
        <v>13</v>
      </c>
      <c r="AA546" s="296" t="s">
        <v>28</v>
      </c>
      <c r="AB546" s="348" t="s">
        <v>110</v>
      </c>
      <c r="AC546" s="297"/>
      <c r="AD546" s="459">
        <f>AD549</f>
        <v>307</v>
      </c>
      <c r="AE546" s="428">
        <f>AE549</f>
        <v>40146.5</v>
      </c>
      <c r="AF546" s="438">
        <f>AF549</f>
        <v>53573.599999999999</v>
      </c>
      <c r="AG546" s="19"/>
      <c r="AH546" s="19"/>
      <c r="AI546" s="113"/>
    </row>
    <row r="547" spans="1:35" x14ac:dyDescent="0.25">
      <c r="B547" s="63"/>
      <c r="C547" s="63"/>
      <c r="D547" s="64"/>
      <c r="E547" s="64"/>
      <c r="F547" s="64"/>
      <c r="G547" s="98"/>
      <c r="H547" s="98"/>
      <c r="I547" s="98"/>
      <c r="J547" s="98"/>
      <c r="K547" s="98"/>
      <c r="L547" s="58"/>
      <c r="M547" s="98"/>
      <c r="N547" s="58"/>
      <c r="P547" s="98"/>
      <c r="Q547" s="66"/>
      <c r="R547" s="11"/>
      <c r="S547" s="11"/>
      <c r="T547" s="11"/>
      <c r="U547" s="11"/>
      <c r="V547" s="11"/>
      <c r="W547" s="11"/>
      <c r="X547" s="299" t="s">
        <v>526</v>
      </c>
      <c r="Y547" s="295" t="s">
        <v>62</v>
      </c>
      <c r="Z547" s="315">
        <v>13</v>
      </c>
      <c r="AA547" s="296" t="s">
        <v>28</v>
      </c>
      <c r="AB547" s="348" t="s">
        <v>400</v>
      </c>
      <c r="AC547" s="297"/>
      <c r="AD547" s="459">
        <f t="shared" ref="AD547:AF548" si="117">AD548</f>
        <v>307</v>
      </c>
      <c r="AE547" s="428">
        <f t="shared" si="117"/>
        <v>40146.5</v>
      </c>
      <c r="AF547" s="438">
        <f t="shared" si="117"/>
        <v>53573.599999999999</v>
      </c>
      <c r="AG547" s="19"/>
      <c r="AH547" s="19"/>
      <c r="AI547" s="113"/>
    </row>
    <row r="548" spans="1:35" ht="31.5" x14ac:dyDescent="0.25">
      <c r="B548" s="63"/>
      <c r="C548" s="63"/>
      <c r="D548" s="64"/>
      <c r="E548" s="64"/>
      <c r="F548" s="64"/>
      <c r="G548" s="98"/>
      <c r="H548" s="98"/>
      <c r="I548" s="98"/>
      <c r="J548" s="98"/>
      <c r="K548" s="98"/>
      <c r="L548" s="58"/>
      <c r="M548" s="98"/>
      <c r="N548" s="58"/>
      <c r="P548" s="98"/>
      <c r="Q548" s="66"/>
      <c r="R548" s="11"/>
      <c r="S548" s="11"/>
      <c r="T548" s="11"/>
      <c r="U548" s="11"/>
      <c r="V548" s="11"/>
      <c r="W548" s="11"/>
      <c r="X548" s="307" t="s">
        <v>527</v>
      </c>
      <c r="Y548" s="295" t="s">
        <v>62</v>
      </c>
      <c r="Z548" s="315">
        <v>13</v>
      </c>
      <c r="AA548" s="296" t="s">
        <v>28</v>
      </c>
      <c r="AB548" s="348" t="s">
        <v>402</v>
      </c>
      <c r="AC548" s="297"/>
      <c r="AD548" s="459">
        <f t="shared" si="117"/>
        <v>307</v>
      </c>
      <c r="AE548" s="428">
        <f t="shared" si="117"/>
        <v>40146.5</v>
      </c>
      <c r="AF548" s="438">
        <f t="shared" si="117"/>
        <v>53573.599999999999</v>
      </c>
      <c r="AG548" s="19"/>
      <c r="AH548" s="19"/>
      <c r="AI548" s="113"/>
    </row>
    <row r="549" spans="1:35" x14ac:dyDescent="0.25">
      <c r="A549" s="68"/>
      <c r="B549" s="63"/>
      <c r="C549" s="63"/>
      <c r="D549" s="64"/>
      <c r="E549" s="64"/>
      <c r="F549" s="64"/>
      <c r="G549" s="98"/>
      <c r="H549" s="98"/>
      <c r="I549" s="98"/>
      <c r="J549" s="98"/>
      <c r="K549" s="98"/>
      <c r="L549" s="58"/>
      <c r="M549" s="98"/>
      <c r="N549" s="58"/>
      <c r="P549" s="98"/>
      <c r="Q549" s="66"/>
      <c r="R549" s="11"/>
      <c r="S549" s="11"/>
      <c r="T549" s="11"/>
      <c r="U549" s="11"/>
      <c r="V549" s="11"/>
      <c r="W549" s="11"/>
      <c r="X549" s="299" t="s">
        <v>186</v>
      </c>
      <c r="Y549" s="295" t="s">
        <v>62</v>
      </c>
      <c r="Z549" s="315">
        <v>13</v>
      </c>
      <c r="AA549" s="296" t="s">
        <v>28</v>
      </c>
      <c r="AB549" s="348" t="s">
        <v>528</v>
      </c>
      <c r="AC549" s="297"/>
      <c r="AD549" s="459">
        <f t="shared" ref="AD549:AF550" si="118">AD550</f>
        <v>307</v>
      </c>
      <c r="AE549" s="428">
        <f t="shared" si="118"/>
        <v>40146.5</v>
      </c>
      <c r="AF549" s="438">
        <f t="shared" si="118"/>
        <v>53573.599999999999</v>
      </c>
      <c r="AG549" s="19"/>
      <c r="AH549" s="19"/>
      <c r="AI549" s="113"/>
    </row>
    <row r="550" spans="1:35" x14ac:dyDescent="0.25">
      <c r="A550" s="69"/>
      <c r="B550" s="63"/>
      <c r="C550" s="63"/>
      <c r="D550" s="64"/>
      <c r="E550" s="64"/>
      <c r="F550" s="64"/>
      <c r="G550" s="98"/>
      <c r="H550" s="98"/>
      <c r="I550" s="98"/>
      <c r="J550" s="98"/>
      <c r="K550" s="98"/>
      <c r="L550" s="58"/>
      <c r="M550" s="98"/>
      <c r="N550" s="58"/>
      <c r="P550" s="98"/>
      <c r="Q550" s="66"/>
      <c r="R550" s="11"/>
      <c r="S550" s="11"/>
      <c r="T550" s="11"/>
      <c r="U550" s="11"/>
      <c r="V550" s="11"/>
      <c r="W550" s="11"/>
      <c r="X550" s="294" t="s">
        <v>66</v>
      </c>
      <c r="Y550" s="295" t="s">
        <v>62</v>
      </c>
      <c r="Z550" s="315">
        <v>13</v>
      </c>
      <c r="AA550" s="296" t="s">
        <v>28</v>
      </c>
      <c r="AB550" s="348" t="s">
        <v>528</v>
      </c>
      <c r="AC550" s="297">
        <v>700</v>
      </c>
      <c r="AD550" s="459">
        <f t="shared" si="118"/>
        <v>307</v>
      </c>
      <c r="AE550" s="428">
        <f t="shared" si="118"/>
        <v>40146.5</v>
      </c>
      <c r="AF550" s="438">
        <f t="shared" si="118"/>
        <v>53573.599999999999</v>
      </c>
      <c r="AG550" s="19"/>
      <c r="AH550" s="19"/>
      <c r="AI550" s="113"/>
    </row>
    <row r="551" spans="1:35" s="77" customFormat="1" x14ac:dyDescent="0.25">
      <c r="A551" s="70"/>
      <c r="B551" s="63"/>
      <c r="C551" s="63"/>
      <c r="D551" s="64"/>
      <c r="E551" s="64"/>
      <c r="F551" s="64"/>
      <c r="G551" s="98"/>
      <c r="I551" s="15"/>
      <c r="J551" s="15"/>
      <c r="K551" s="15"/>
      <c r="L551" s="58"/>
      <c r="M551" s="15"/>
      <c r="N551" s="58"/>
      <c r="O551" s="30"/>
      <c r="P551" s="98"/>
      <c r="Q551" s="66"/>
      <c r="R551" s="16"/>
      <c r="S551" s="16"/>
      <c r="T551" s="16"/>
      <c r="U551" s="16"/>
      <c r="V551" s="16"/>
      <c r="X551" s="294" t="s">
        <v>350</v>
      </c>
      <c r="Y551" s="295" t="s">
        <v>62</v>
      </c>
      <c r="Z551" s="315">
        <v>13</v>
      </c>
      <c r="AA551" s="296" t="s">
        <v>28</v>
      </c>
      <c r="AB551" s="348" t="s">
        <v>528</v>
      </c>
      <c r="AC551" s="297">
        <v>730</v>
      </c>
      <c r="AD551" s="459">
        <f>4534.5-4227.5</f>
        <v>307</v>
      </c>
      <c r="AE551" s="428">
        <v>40146.5</v>
      </c>
      <c r="AF551" s="438">
        <v>53573.599999999999</v>
      </c>
      <c r="AG551" s="19"/>
      <c r="AH551" s="19"/>
      <c r="AI551" s="113"/>
    </row>
    <row r="552" spans="1:35" ht="18.75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R552" s="3"/>
      <c r="S552" s="3"/>
      <c r="X552" s="445" t="s">
        <v>404</v>
      </c>
      <c r="Y552" s="291" t="s">
        <v>5</v>
      </c>
      <c r="Z552" s="322"/>
      <c r="AA552" s="318"/>
      <c r="AB552" s="347"/>
      <c r="AC552" s="323"/>
      <c r="AD552" s="458">
        <f>AD553+AD586+AD578</f>
        <v>20152.3</v>
      </c>
      <c r="AE552" s="458">
        <f>AE553+AE586+AE578</f>
        <v>17213.600000000002</v>
      </c>
      <c r="AF552" s="458">
        <f>AF553+AF586+AF578</f>
        <v>17213.600000000002</v>
      </c>
    </row>
    <row r="553" spans="1:3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R553" s="3"/>
      <c r="S553" s="3"/>
      <c r="X553" s="445" t="s">
        <v>24</v>
      </c>
      <c r="Y553" s="291" t="s">
        <v>5</v>
      </c>
      <c r="Z553" s="292" t="s">
        <v>28</v>
      </c>
      <c r="AA553" s="346"/>
      <c r="AB553" s="347"/>
      <c r="AC553" s="317"/>
      <c r="AD553" s="458">
        <f>AD554</f>
        <v>19609.3</v>
      </c>
      <c r="AE553" s="427">
        <f>AE554</f>
        <v>16740.900000000001</v>
      </c>
      <c r="AF553" s="437">
        <f>AF554</f>
        <v>16740.900000000001</v>
      </c>
    </row>
    <row r="554" spans="1:35" ht="31.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R554" s="3"/>
      <c r="S554" s="3"/>
      <c r="X554" s="294" t="s">
        <v>27</v>
      </c>
      <c r="Y554" s="295" t="s">
        <v>5</v>
      </c>
      <c r="Z554" s="296" t="s">
        <v>28</v>
      </c>
      <c r="AA554" s="296" t="s">
        <v>6</v>
      </c>
      <c r="AB554" s="345"/>
      <c r="AC554" s="323"/>
      <c r="AD554" s="459">
        <f>AD561+AD555</f>
        <v>19609.3</v>
      </c>
      <c r="AE554" s="428">
        <f>AE561</f>
        <v>16740.900000000001</v>
      </c>
      <c r="AF554" s="438">
        <f>AF561</f>
        <v>16740.900000000001</v>
      </c>
      <c r="AG554" s="3"/>
      <c r="AH554" s="3"/>
    </row>
    <row r="555" spans="1:3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R555" s="3"/>
      <c r="S555" s="3"/>
      <c r="X555" s="299" t="s">
        <v>184</v>
      </c>
      <c r="Y555" s="295" t="s">
        <v>5</v>
      </c>
      <c r="Z555" s="296" t="s">
        <v>28</v>
      </c>
      <c r="AA555" s="297" t="s">
        <v>6</v>
      </c>
      <c r="AB555" s="300" t="s">
        <v>110</v>
      </c>
      <c r="AC555" s="298"/>
      <c r="AD555" s="482">
        <f>AD556</f>
        <v>20</v>
      </c>
      <c r="AE555" s="482">
        <f t="shared" ref="AE555:AF559" si="119">AE556</f>
        <v>0</v>
      </c>
      <c r="AF555" s="482">
        <f t="shared" si="119"/>
        <v>0</v>
      </c>
      <c r="AG555" s="3"/>
      <c r="AH555" s="3"/>
    </row>
    <row r="556" spans="1:3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R556" s="3"/>
      <c r="S556" s="3"/>
      <c r="X556" s="299" t="s">
        <v>187</v>
      </c>
      <c r="Y556" s="295" t="s">
        <v>5</v>
      </c>
      <c r="Z556" s="296" t="s">
        <v>28</v>
      </c>
      <c r="AA556" s="297" t="s">
        <v>6</v>
      </c>
      <c r="AB556" s="300" t="s">
        <v>188</v>
      </c>
      <c r="AC556" s="298"/>
      <c r="AD556" s="482">
        <f>AD557</f>
        <v>20</v>
      </c>
      <c r="AE556" s="482">
        <f t="shared" si="119"/>
        <v>0</v>
      </c>
      <c r="AF556" s="482">
        <f t="shared" si="119"/>
        <v>0</v>
      </c>
      <c r="AG556" s="3"/>
      <c r="AH556" s="3"/>
    </row>
    <row r="557" spans="1:35" ht="31.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R557" s="3"/>
      <c r="S557" s="3"/>
      <c r="X557" s="294" t="s">
        <v>529</v>
      </c>
      <c r="Y557" s="295" t="s">
        <v>5</v>
      </c>
      <c r="Z557" s="296" t="s">
        <v>28</v>
      </c>
      <c r="AA557" s="297" t="s">
        <v>6</v>
      </c>
      <c r="AB557" s="306" t="s">
        <v>530</v>
      </c>
      <c r="AC557" s="302"/>
      <c r="AD557" s="482">
        <f>AD558</f>
        <v>20</v>
      </c>
      <c r="AE557" s="482">
        <f t="shared" si="119"/>
        <v>0</v>
      </c>
      <c r="AF557" s="482">
        <f t="shared" si="119"/>
        <v>0</v>
      </c>
      <c r="AG557" s="3"/>
      <c r="AH557" s="3"/>
    </row>
    <row r="558" spans="1:35" ht="78.7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R558" s="3"/>
      <c r="S558" s="3"/>
      <c r="X558" s="294" t="s">
        <v>401</v>
      </c>
      <c r="Y558" s="295" t="s">
        <v>5</v>
      </c>
      <c r="Z558" s="296" t="s">
        <v>28</v>
      </c>
      <c r="AA558" s="297" t="s">
        <v>6</v>
      </c>
      <c r="AB558" s="300" t="s">
        <v>531</v>
      </c>
      <c r="AC558" s="302"/>
      <c r="AD558" s="482">
        <f>AD559</f>
        <v>20</v>
      </c>
      <c r="AE558" s="482">
        <f t="shared" si="119"/>
        <v>0</v>
      </c>
      <c r="AF558" s="482">
        <f t="shared" si="119"/>
        <v>0</v>
      </c>
      <c r="AG558" s="3"/>
      <c r="AH558" s="3"/>
    </row>
    <row r="559" spans="1:3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R559" s="3"/>
      <c r="S559" s="3"/>
      <c r="X559" s="294" t="s">
        <v>118</v>
      </c>
      <c r="Y559" s="295" t="s">
        <v>5</v>
      </c>
      <c r="Z559" s="296" t="s">
        <v>28</v>
      </c>
      <c r="AA559" s="297" t="s">
        <v>6</v>
      </c>
      <c r="AB559" s="300" t="s">
        <v>531</v>
      </c>
      <c r="AC559" s="302">
        <v>200</v>
      </c>
      <c r="AD559" s="482">
        <f>AD560</f>
        <v>20</v>
      </c>
      <c r="AE559" s="482">
        <f t="shared" si="119"/>
        <v>0</v>
      </c>
      <c r="AF559" s="482">
        <f t="shared" si="119"/>
        <v>0</v>
      </c>
      <c r="AG559" s="3"/>
      <c r="AH559" s="3"/>
    </row>
    <row r="560" spans="1:35" ht="31.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R560" s="3"/>
      <c r="S560" s="3"/>
      <c r="X560" s="294" t="s">
        <v>51</v>
      </c>
      <c r="Y560" s="295" t="s">
        <v>5</v>
      </c>
      <c r="Z560" s="296" t="s">
        <v>28</v>
      </c>
      <c r="AA560" s="297" t="s">
        <v>6</v>
      </c>
      <c r="AB560" s="300" t="s">
        <v>531</v>
      </c>
      <c r="AC560" s="302">
        <v>240</v>
      </c>
      <c r="AD560" s="482">
        <v>20</v>
      </c>
      <c r="AE560" s="482">
        <v>0</v>
      </c>
      <c r="AF560" s="482">
        <v>0</v>
      </c>
      <c r="AG560" s="3"/>
      <c r="AH560" s="3"/>
    </row>
    <row r="561" spans="1:34" ht="31.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R561" s="3"/>
      <c r="S561" s="3"/>
      <c r="X561" s="299" t="s">
        <v>272</v>
      </c>
      <c r="Y561" s="295" t="s">
        <v>5</v>
      </c>
      <c r="Z561" s="296" t="s">
        <v>28</v>
      </c>
      <c r="AA561" s="296" t="s">
        <v>6</v>
      </c>
      <c r="AB561" s="348" t="s">
        <v>97</v>
      </c>
      <c r="AC561" s="323"/>
      <c r="AD561" s="459">
        <f>AD562+AD566+AD568</f>
        <v>19589.3</v>
      </c>
      <c r="AE561" s="428">
        <f>AE562+AE566+AE568</f>
        <v>16740.900000000001</v>
      </c>
      <c r="AF561" s="438">
        <f>AF562+AF566+AF568</f>
        <v>16740.900000000001</v>
      </c>
      <c r="AG561" s="3"/>
      <c r="AH561" s="3"/>
    </row>
    <row r="562" spans="1:34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R562" s="3"/>
      <c r="S562" s="3"/>
      <c r="X562" s="455" t="s">
        <v>279</v>
      </c>
      <c r="Y562" s="295" t="s">
        <v>5</v>
      </c>
      <c r="Z562" s="296" t="s">
        <v>28</v>
      </c>
      <c r="AA562" s="296" t="s">
        <v>6</v>
      </c>
      <c r="AB562" s="348" t="s">
        <v>282</v>
      </c>
      <c r="AC562" s="297"/>
      <c r="AD562" s="459">
        <f t="shared" ref="AD562:AF563" si="120">AD563</f>
        <v>3646</v>
      </c>
      <c r="AE562" s="428">
        <f t="shared" si="120"/>
        <v>2936</v>
      </c>
      <c r="AF562" s="438">
        <f t="shared" si="120"/>
        <v>2936</v>
      </c>
      <c r="AG562" s="3"/>
      <c r="AH562" s="3"/>
    </row>
    <row r="563" spans="1:34" ht="47.2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R563" s="3"/>
      <c r="S563" s="3"/>
      <c r="X563" s="294" t="s">
        <v>40</v>
      </c>
      <c r="Y563" s="295" t="s">
        <v>5</v>
      </c>
      <c r="Z563" s="296" t="s">
        <v>28</v>
      </c>
      <c r="AA563" s="296" t="s">
        <v>6</v>
      </c>
      <c r="AB563" s="348" t="s">
        <v>282</v>
      </c>
      <c r="AC563" s="323">
        <v>100</v>
      </c>
      <c r="AD563" s="459">
        <f t="shared" si="120"/>
        <v>3646</v>
      </c>
      <c r="AE563" s="428">
        <f t="shared" si="120"/>
        <v>2936</v>
      </c>
      <c r="AF563" s="438">
        <f t="shared" si="120"/>
        <v>2936</v>
      </c>
      <c r="AG563" s="3"/>
      <c r="AH563" s="3"/>
    </row>
    <row r="564" spans="1:34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R564" s="3"/>
      <c r="S564" s="3"/>
      <c r="X564" s="294" t="s">
        <v>94</v>
      </c>
      <c r="Y564" s="295" t="s">
        <v>5</v>
      </c>
      <c r="Z564" s="296" t="s">
        <v>28</v>
      </c>
      <c r="AA564" s="296" t="s">
        <v>6</v>
      </c>
      <c r="AB564" s="348" t="s">
        <v>282</v>
      </c>
      <c r="AC564" s="297">
        <v>120</v>
      </c>
      <c r="AD564" s="459">
        <f>2936+559+116+35</f>
        <v>3646</v>
      </c>
      <c r="AE564" s="428">
        <v>2936</v>
      </c>
      <c r="AF564" s="438">
        <v>2936</v>
      </c>
      <c r="AG564" s="109"/>
      <c r="AH564" s="109"/>
    </row>
    <row r="565" spans="1:34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R565" s="3"/>
      <c r="S565" s="3"/>
      <c r="X565" s="294" t="s">
        <v>325</v>
      </c>
      <c r="Y565" s="295" t="s">
        <v>5</v>
      </c>
      <c r="Z565" s="296" t="s">
        <v>28</v>
      </c>
      <c r="AA565" s="296" t="s">
        <v>6</v>
      </c>
      <c r="AB565" s="348" t="s">
        <v>283</v>
      </c>
      <c r="AC565" s="297"/>
      <c r="AD565" s="459">
        <f>AD567</f>
        <v>2533.5</v>
      </c>
      <c r="AE565" s="428">
        <f>AE567</f>
        <v>2279.5</v>
      </c>
      <c r="AF565" s="438">
        <f>AF567</f>
        <v>2279.5</v>
      </c>
      <c r="AG565" s="109"/>
      <c r="AH565" s="109"/>
    </row>
    <row r="566" spans="1:34" ht="47.2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R566" s="3"/>
      <c r="S566" s="3"/>
      <c r="X566" s="294" t="s">
        <v>40</v>
      </c>
      <c r="Y566" s="295" t="s">
        <v>5</v>
      </c>
      <c r="Z566" s="296" t="s">
        <v>28</v>
      </c>
      <c r="AA566" s="296" t="s">
        <v>6</v>
      </c>
      <c r="AB566" s="348" t="s">
        <v>283</v>
      </c>
      <c r="AC566" s="323">
        <v>100</v>
      </c>
      <c r="AD566" s="459">
        <f>AD567</f>
        <v>2533.5</v>
      </c>
      <c r="AE566" s="428">
        <f>AE567</f>
        <v>2279.5</v>
      </c>
      <c r="AF566" s="438">
        <f>AF567</f>
        <v>2279.5</v>
      </c>
      <c r="AG566" s="109"/>
      <c r="AH566" s="109"/>
    </row>
    <row r="567" spans="1:34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R567" s="3"/>
      <c r="S567" s="3"/>
      <c r="X567" s="294" t="s">
        <v>94</v>
      </c>
      <c r="Y567" s="295" t="s">
        <v>5</v>
      </c>
      <c r="Z567" s="296" t="s">
        <v>28</v>
      </c>
      <c r="AA567" s="296" t="s">
        <v>6</v>
      </c>
      <c r="AB567" s="348" t="s">
        <v>283</v>
      </c>
      <c r="AC567" s="297">
        <v>120</v>
      </c>
      <c r="AD567" s="459">
        <f>2279.5+221.5+25+7.5</f>
        <v>2533.5</v>
      </c>
      <c r="AE567" s="428">
        <v>2279.5</v>
      </c>
      <c r="AF567" s="438">
        <v>2279.5</v>
      </c>
      <c r="AG567" s="109"/>
      <c r="AH567" s="109"/>
    </row>
    <row r="568" spans="1:34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R568" s="3"/>
      <c r="S568" s="3"/>
      <c r="X568" s="307" t="s">
        <v>280</v>
      </c>
      <c r="Y568" s="295" t="s">
        <v>5</v>
      </c>
      <c r="Z568" s="296" t="s">
        <v>28</v>
      </c>
      <c r="AA568" s="296" t="s">
        <v>6</v>
      </c>
      <c r="AB568" s="348" t="s">
        <v>281</v>
      </c>
      <c r="AC568" s="297"/>
      <c r="AD568" s="459">
        <f>AD569+AD572+AD575</f>
        <v>13409.8</v>
      </c>
      <c r="AE568" s="428">
        <f>AE569+AE572+AE575</f>
        <v>11525.4</v>
      </c>
      <c r="AF568" s="438">
        <f>AF569+AF572+AF575</f>
        <v>11525.4</v>
      </c>
      <c r="AG568" s="109"/>
      <c r="AH568" s="109"/>
    </row>
    <row r="569" spans="1:34" ht="31.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R569" s="3"/>
      <c r="S569" s="3"/>
      <c r="X569" s="294" t="s">
        <v>284</v>
      </c>
      <c r="Y569" s="295" t="s">
        <v>5</v>
      </c>
      <c r="Z569" s="296" t="s">
        <v>28</v>
      </c>
      <c r="AA569" s="296" t="s">
        <v>6</v>
      </c>
      <c r="AB569" s="348" t="s">
        <v>285</v>
      </c>
      <c r="AC569" s="297"/>
      <c r="AD569" s="459">
        <f t="shared" ref="AD569:AF570" si="121">AD570</f>
        <v>3285.4</v>
      </c>
      <c r="AE569" s="428">
        <f t="shared" si="121"/>
        <v>1849.9</v>
      </c>
      <c r="AF569" s="438">
        <f t="shared" si="121"/>
        <v>1849.9</v>
      </c>
      <c r="AG569" s="109"/>
      <c r="AH569" s="109"/>
    </row>
    <row r="570" spans="1:34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R570" s="3"/>
      <c r="S570" s="3"/>
      <c r="X570" s="294" t="s">
        <v>118</v>
      </c>
      <c r="Y570" s="295" t="s">
        <v>5</v>
      </c>
      <c r="Z570" s="296" t="s">
        <v>28</v>
      </c>
      <c r="AA570" s="296" t="s">
        <v>6</v>
      </c>
      <c r="AB570" s="348" t="s">
        <v>285</v>
      </c>
      <c r="AC570" s="297">
        <v>200</v>
      </c>
      <c r="AD570" s="459">
        <f t="shared" si="121"/>
        <v>3285.4</v>
      </c>
      <c r="AE570" s="428">
        <f t="shared" si="121"/>
        <v>1849.9</v>
      </c>
      <c r="AF570" s="438">
        <f t="shared" si="121"/>
        <v>1849.9</v>
      </c>
      <c r="AG570" s="109"/>
      <c r="AH570" s="109"/>
    </row>
    <row r="571" spans="1:34" ht="31.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R571" s="3"/>
      <c r="S571" s="3"/>
      <c r="X571" s="294" t="s">
        <v>51</v>
      </c>
      <c r="Y571" s="295" t="s">
        <v>5</v>
      </c>
      <c r="Z571" s="296" t="s">
        <v>28</v>
      </c>
      <c r="AA571" s="296" t="s">
        <v>6</v>
      </c>
      <c r="AB571" s="348" t="s">
        <v>285</v>
      </c>
      <c r="AC571" s="297">
        <v>240</v>
      </c>
      <c r="AD571" s="459">
        <f>1849.9-20+1100+600-184.5-60</f>
        <v>3285.4</v>
      </c>
      <c r="AE571" s="428">
        <v>1849.9</v>
      </c>
      <c r="AF571" s="438">
        <v>1849.9</v>
      </c>
      <c r="AG571" s="191"/>
      <c r="AH571" s="109"/>
    </row>
    <row r="572" spans="1:34" ht="47.2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R572" s="3"/>
      <c r="S572" s="3"/>
      <c r="X572" s="294" t="s">
        <v>288</v>
      </c>
      <c r="Y572" s="295" t="s">
        <v>5</v>
      </c>
      <c r="Z572" s="296" t="s">
        <v>28</v>
      </c>
      <c r="AA572" s="296" t="s">
        <v>6</v>
      </c>
      <c r="AB572" s="348" t="s">
        <v>286</v>
      </c>
      <c r="AC572" s="297"/>
      <c r="AD572" s="459">
        <f>AD573</f>
        <v>5228</v>
      </c>
      <c r="AE572" s="428">
        <f t="shared" ref="AD572:AF573" si="122">AE573</f>
        <v>4779.1000000000004</v>
      </c>
      <c r="AF572" s="438">
        <f t="shared" si="122"/>
        <v>4779.1000000000004</v>
      </c>
      <c r="AG572" s="109"/>
      <c r="AH572" s="109"/>
    </row>
    <row r="573" spans="1:34" ht="47.2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R573" s="3"/>
      <c r="S573" s="3"/>
      <c r="X573" s="294" t="s">
        <v>40</v>
      </c>
      <c r="Y573" s="295" t="s">
        <v>5</v>
      </c>
      <c r="Z573" s="296" t="s">
        <v>28</v>
      </c>
      <c r="AA573" s="296" t="s">
        <v>6</v>
      </c>
      <c r="AB573" s="348" t="s">
        <v>286</v>
      </c>
      <c r="AC573" s="323">
        <v>100</v>
      </c>
      <c r="AD573" s="459">
        <f t="shared" si="122"/>
        <v>5228</v>
      </c>
      <c r="AE573" s="428">
        <f t="shared" si="122"/>
        <v>4779.1000000000004</v>
      </c>
      <c r="AF573" s="438">
        <f t="shared" si="122"/>
        <v>4779.1000000000004</v>
      </c>
      <c r="AG573" s="109"/>
      <c r="AH573" s="109"/>
    </row>
    <row r="574" spans="1:34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R574" s="3"/>
      <c r="S574" s="3"/>
      <c r="X574" s="294" t="s">
        <v>94</v>
      </c>
      <c r="Y574" s="295" t="s">
        <v>5</v>
      </c>
      <c r="Z574" s="296" t="s">
        <v>28</v>
      </c>
      <c r="AA574" s="296" t="s">
        <v>6</v>
      </c>
      <c r="AB574" s="348" t="s">
        <v>286</v>
      </c>
      <c r="AC574" s="297">
        <v>120</v>
      </c>
      <c r="AD574" s="459">
        <f>4779.1+448.9</f>
        <v>5228</v>
      </c>
      <c r="AE574" s="428">
        <v>4779.1000000000004</v>
      </c>
      <c r="AF574" s="438">
        <v>4779.1000000000004</v>
      </c>
      <c r="AG574" s="109"/>
      <c r="AH574" s="109"/>
    </row>
    <row r="575" spans="1:34" ht="31.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R575" s="3"/>
      <c r="S575" s="3"/>
      <c r="X575" s="294" t="s">
        <v>289</v>
      </c>
      <c r="Y575" s="295" t="s">
        <v>5</v>
      </c>
      <c r="Z575" s="296" t="s">
        <v>28</v>
      </c>
      <c r="AA575" s="296" t="s">
        <v>6</v>
      </c>
      <c r="AB575" s="348" t="s">
        <v>287</v>
      </c>
      <c r="AC575" s="297"/>
      <c r="AD575" s="459">
        <f t="shared" ref="AD575:AF576" si="123">AD576</f>
        <v>4896.3999999999996</v>
      </c>
      <c r="AE575" s="428">
        <f t="shared" si="123"/>
        <v>4896.3999999999996</v>
      </c>
      <c r="AF575" s="438">
        <f t="shared" si="123"/>
        <v>4896.3999999999996</v>
      </c>
      <c r="AG575" s="109"/>
      <c r="AH575" s="109"/>
    </row>
    <row r="576" spans="1:34" ht="47.2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R576" s="3"/>
      <c r="S576" s="3"/>
      <c r="X576" s="294" t="s">
        <v>40</v>
      </c>
      <c r="Y576" s="295" t="s">
        <v>5</v>
      </c>
      <c r="Z576" s="296" t="s">
        <v>28</v>
      </c>
      <c r="AA576" s="296" t="s">
        <v>6</v>
      </c>
      <c r="AB576" s="348" t="s">
        <v>287</v>
      </c>
      <c r="AC576" s="323">
        <v>100</v>
      </c>
      <c r="AD576" s="459">
        <f t="shared" si="123"/>
        <v>4896.3999999999996</v>
      </c>
      <c r="AE576" s="428">
        <f t="shared" si="123"/>
        <v>4896.3999999999996</v>
      </c>
      <c r="AF576" s="438">
        <f t="shared" si="123"/>
        <v>4896.3999999999996</v>
      </c>
      <c r="AG576" s="109"/>
      <c r="AH576" s="109"/>
    </row>
    <row r="577" spans="1:34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R577" s="3"/>
      <c r="S577" s="3"/>
      <c r="X577" s="294" t="s">
        <v>94</v>
      </c>
      <c r="Y577" s="295" t="s">
        <v>5</v>
      </c>
      <c r="Z577" s="296" t="s">
        <v>28</v>
      </c>
      <c r="AA577" s="296" t="s">
        <v>6</v>
      </c>
      <c r="AB577" s="348" t="s">
        <v>287</v>
      </c>
      <c r="AC577" s="297">
        <v>120</v>
      </c>
      <c r="AD577" s="459">
        <v>4896.3999999999996</v>
      </c>
      <c r="AE577" s="428">
        <v>4896.3999999999996</v>
      </c>
      <c r="AF577" s="438">
        <v>4896.3999999999996</v>
      </c>
      <c r="AG577" s="109"/>
      <c r="AH577" s="109"/>
    </row>
    <row r="578" spans="1:34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R578" s="3"/>
      <c r="S578" s="3"/>
      <c r="X578" s="445" t="s">
        <v>3</v>
      </c>
      <c r="Y578" s="295" t="s">
        <v>5</v>
      </c>
      <c r="Z578" s="312" t="s">
        <v>7</v>
      </c>
      <c r="AA578" s="296"/>
      <c r="AB578" s="348"/>
      <c r="AC578" s="297"/>
      <c r="AD578" s="458">
        <f>AD579</f>
        <v>9.3000000000000007</v>
      </c>
      <c r="AE578" s="458">
        <f>AE579</f>
        <v>0</v>
      </c>
      <c r="AF578" s="458">
        <f>AF579</f>
        <v>0</v>
      </c>
      <c r="AG578" s="109"/>
      <c r="AH578" s="109"/>
    </row>
    <row r="579" spans="1:34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R579" s="3"/>
      <c r="S579" s="3"/>
      <c r="X579" s="294" t="s">
        <v>37</v>
      </c>
      <c r="Y579" s="295" t="s">
        <v>5</v>
      </c>
      <c r="Z579" s="296" t="s">
        <v>7</v>
      </c>
      <c r="AA579" s="296" t="s">
        <v>21</v>
      </c>
      <c r="AB579" s="347"/>
      <c r="AC579" s="297"/>
      <c r="AD579" s="459">
        <f>AD581</f>
        <v>9.3000000000000007</v>
      </c>
      <c r="AE579" s="428">
        <f>AE581</f>
        <v>0</v>
      </c>
      <c r="AF579" s="438">
        <f>AF581</f>
        <v>0</v>
      </c>
      <c r="AG579" s="109"/>
      <c r="AH579" s="109"/>
    </row>
    <row r="580" spans="1:34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R580" s="3"/>
      <c r="S580" s="3"/>
      <c r="X580" s="299" t="s">
        <v>290</v>
      </c>
      <c r="Y580" s="295" t="s">
        <v>5</v>
      </c>
      <c r="Z580" s="296" t="s">
        <v>7</v>
      </c>
      <c r="AA580" s="296" t="s">
        <v>21</v>
      </c>
      <c r="AB580" s="348" t="s">
        <v>107</v>
      </c>
      <c r="AC580" s="297"/>
      <c r="AD580" s="459">
        <f t="shared" ref="AD580:AF582" si="124">AD581</f>
        <v>9.3000000000000007</v>
      </c>
      <c r="AE580" s="428">
        <f t="shared" si="124"/>
        <v>0</v>
      </c>
      <c r="AF580" s="438">
        <f t="shared" si="124"/>
        <v>0</v>
      </c>
      <c r="AG580" s="109"/>
      <c r="AH580" s="109"/>
    </row>
    <row r="581" spans="1:34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R581" s="3"/>
      <c r="S581" s="3"/>
      <c r="X581" s="299" t="s">
        <v>294</v>
      </c>
      <c r="Y581" s="295" t="s">
        <v>5</v>
      </c>
      <c r="Z581" s="296" t="s">
        <v>7</v>
      </c>
      <c r="AA581" s="296" t="s">
        <v>21</v>
      </c>
      <c r="AB581" s="348" t="s">
        <v>108</v>
      </c>
      <c r="AC581" s="297"/>
      <c r="AD581" s="459">
        <f t="shared" si="124"/>
        <v>9.3000000000000007</v>
      </c>
      <c r="AE581" s="428">
        <f t="shared" si="124"/>
        <v>0</v>
      </c>
      <c r="AF581" s="438">
        <f t="shared" si="124"/>
        <v>0</v>
      </c>
      <c r="AG581" s="109"/>
      <c r="AH581" s="109"/>
    </row>
    <row r="582" spans="1:34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R582" s="3"/>
      <c r="S582" s="3"/>
      <c r="X582" s="453" t="s">
        <v>499</v>
      </c>
      <c r="Y582" s="295" t="s">
        <v>5</v>
      </c>
      <c r="Z582" s="296" t="s">
        <v>7</v>
      </c>
      <c r="AA582" s="296" t="s">
        <v>21</v>
      </c>
      <c r="AB582" s="348" t="s">
        <v>498</v>
      </c>
      <c r="AC582" s="297"/>
      <c r="AD582" s="459">
        <f>AD583</f>
        <v>9.3000000000000007</v>
      </c>
      <c r="AE582" s="459">
        <f t="shared" si="124"/>
        <v>0</v>
      </c>
      <c r="AF582" s="459">
        <f t="shared" si="124"/>
        <v>0</v>
      </c>
      <c r="AG582" s="109"/>
      <c r="AH582" s="109"/>
    </row>
    <row r="583" spans="1:34" ht="47.2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R583" s="3"/>
      <c r="S583" s="3"/>
      <c r="X583" s="453" t="s">
        <v>831</v>
      </c>
      <c r="Y583" s="295" t="s">
        <v>5</v>
      </c>
      <c r="Z583" s="296" t="s">
        <v>7</v>
      </c>
      <c r="AA583" s="296" t="s">
        <v>21</v>
      </c>
      <c r="AB583" s="348" t="s">
        <v>832</v>
      </c>
      <c r="AC583" s="297"/>
      <c r="AD583" s="459">
        <f>AD584</f>
        <v>9.3000000000000007</v>
      </c>
      <c r="AE583" s="459">
        <f>AE584</f>
        <v>0</v>
      </c>
      <c r="AF583" s="459">
        <f>AF584</f>
        <v>0</v>
      </c>
      <c r="AG583" s="109"/>
      <c r="AH583" s="109"/>
    </row>
    <row r="584" spans="1:34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R584" s="3"/>
      <c r="S584" s="3"/>
      <c r="X584" s="294" t="s">
        <v>95</v>
      </c>
      <c r="Y584" s="295" t="s">
        <v>5</v>
      </c>
      <c r="Z584" s="296" t="s">
        <v>7</v>
      </c>
      <c r="AA584" s="296" t="s">
        <v>21</v>
      </c>
      <c r="AB584" s="348" t="s">
        <v>832</v>
      </c>
      <c r="AC584" s="297">
        <v>300</v>
      </c>
      <c r="AD584" s="459">
        <f>AD585</f>
        <v>9.3000000000000007</v>
      </c>
      <c r="AE584" s="459">
        <f>AE585</f>
        <v>0</v>
      </c>
      <c r="AF584" s="459">
        <f>AF585</f>
        <v>0</v>
      </c>
      <c r="AG584" s="109"/>
      <c r="AH584" s="109"/>
    </row>
    <row r="585" spans="1:34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R585" s="3"/>
      <c r="S585" s="3"/>
      <c r="X585" s="294" t="s">
        <v>39</v>
      </c>
      <c r="Y585" s="295" t="s">
        <v>5</v>
      </c>
      <c r="Z585" s="296" t="s">
        <v>7</v>
      </c>
      <c r="AA585" s="296" t="s">
        <v>21</v>
      </c>
      <c r="AB585" s="348" t="s">
        <v>832</v>
      </c>
      <c r="AC585" s="297">
        <v>320</v>
      </c>
      <c r="AD585" s="459">
        <v>9.3000000000000007</v>
      </c>
      <c r="AE585" s="459">
        <v>0</v>
      </c>
      <c r="AF585" s="459">
        <v>0</v>
      </c>
      <c r="AG585" s="109"/>
      <c r="AH585" s="109"/>
    </row>
    <row r="586" spans="1:34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R586" s="3"/>
      <c r="S586" s="3"/>
      <c r="X586" s="445" t="s">
        <v>92</v>
      </c>
      <c r="Y586" s="291" t="s">
        <v>5</v>
      </c>
      <c r="Z586" s="312" t="s">
        <v>35</v>
      </c>
      <c r="AA586" s="346"/>
      <c r="AB586" s="345"/>
      <c r="AC586" s="317"/>
      <c r="AD586" s="458">
        <f t="shared" ref="AD586:AF592" si="125">AD587</f>
        <v>533.70000000000005</v>
      </c>
      <c r="AE586" s="427">
        <f t="shared" si="125"/>
        <v>472.7</v>
      </c>
      <c r="AF586" s="437">
        <f t="shared" si="125"/>
        <v>472.7</v>
      </c>
      <c r="AG586" s="109"/>
      <c r="AH586" s="109"/>
    </row>
    <row r="587" spans="1:34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R587" s="3"/>
      <c r="S587" s="3"/>
      <c r="X587" s="294" t="s">
        <v>54</v>
      </c>
      <c r="Y587" s="295" t="s">
        <v>5</v>
      </c>
      <c r="Z587" s="296">
        <v>10</v>
      </c>
      <c r="AA587" s="296" t="s">
        <v>28</v>
      </c>
      <c r="AB587" s="347"/>
      <c r="AC587" s="293"/>
      <c r="AD587" s="459">
        <f t="shared" si="125"/>
        <v>533.70000000000005</v>
      </c>
      <c r="AE587" s="428">
        <f t="shared" si="125"/>
        <v>472.7</v>
      </c>
      <c r="AF587" s="438">
        <f t="shared" si="125"/>
        <v>472.7</v>
      </c>
      <c r="AG587" s="109"/>
      <c r="AH587" s="109"/>
    </row>
    <row r="588" spans="1:34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R588" s="3"/>
      <c r="S588" s="3"/>
      <c r="X588" s="299" t="s">
        <v>290</v>
      </c>
      <c r="Y588" s="295" t="s">
        <v>5</v>
      </c>
      <c r="Z588" s="296">
        <v>10</v>
      </c>
      <c r="AA588" s="296" t="s">
        <v>28</v>
      </c>
      <c r="AB588" s="348" t="s">
        <v>107</v>
      </c>
      <c r="AC588" s="293"/>
      <c r="AD588" s="459">
        <f t="shared" si="125"/>
        <v>533.70000000000005</v>
      </c>
      <c r="AE588" s="428">
        <f t="shared" si="125"/>
        <v>472.7</v>
      </c>
      <c r="AF588" s="438">
        <f t="shared" si="125"/>
        <v>472.7</v>
      </c>
      <c r="AG588" s="109"/>
      <c r="AH588" s="109"/>
    </row>
    <row r="589" spans="1:34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R589" s="3"/>
      <c r="S589" s="3"/>
      <c r="X589" s="299" t="s">
        <v>291</v>
      </c>
      <c r="Y589" s="295" t="s">
        <v>5</v>
      </c>
      <c r="Z589" s="296">
        <v>10</v>
      </c>
      <c r="AA589" s="296" t="s">
        <v>28</v>
      </c>
      <c r="AB589" s="348" t="s">
        <v>116</v>
      </c>
      <c r="AC589" s="293"/>
      <c r="AD589" s="459">
        <f t="shared" si="125"/>
        <v>533.70000000000005</v>
      </c>
      <c r="AE589" s="428">
        <f t="shared" si="125"/>
        <v>472.7</v>
      </c>
      <c r="AF589" s="438">
        <f t="shared" si="125"/>
        <v>472.7</v>
      </c>
      <c r="AG589" s="109"/>
      <c r="AH589" s="109"/>
    </row>
    <row r="590" spans="1:34" ht="31.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R590" s="3"/>
      <c r="S590" s="3"/>
      <c r="X590" s="299" t="s">
        <v>461</v>
      </c>
      <c r="Y590" s="295" t="s">
        <v>5</v>
      </c>
      <c r="Z590" s="296">
        <v>10</v>
      </c>
      <c r="AA590" s="296" t="s">
        <v>28</v>
      </c>
      <c r="AB590" s="348" t="s">
        <v>460</v>
      </c>
      <c r="AC590" s="293"/>
      <c r="AD590" s="459">
        <f t="shared" si="125"/>
        <v>533.70000000000005</v>
      </c>
      <c r="AE590" s="428">
        <f t="shared" si="125"/>
        <v>472.7</v>
      </c>
      <c r="AF590" s="438">
        <f t="shared" si="125"/>
        <v>472.7</v>
      </c>
      <c r="AG590" s="109"/>
      <c r="AH590" s="109"/>
    </row>
    <row r="591" spans="1:34" ht="31.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R591" s="3"/>
      <c r="S591" s="3"/>
      <c r="X591" s="307" t="s">
        <v>293</v>
      </c>
      <c r="Y591" s="295" t="s">
        <v>5</v>
      </c>
      <c r="Z591" s="296">
        <v>10</v>
      </c>
      <c r="AA591" s="296" t="s">
        <v>28</v>
      </c>
      <c r="AB591" s="348" t="s">
        <v>459</v>
      </c>
      <c r="AC591" s="293"/>
      <c r="AD591" s="459">
        <f t="shared" si="125"/>
        <v>533.70000000000005</v>
      </c>
      <c r="AE591" s="428">
        <f t="shared" si="125"/>
        <v>472.7</v>
      </c>
      <c r="AF591" s="438">
        <f t="shared" si="125"/>
        <v>472.7</v>
      </c>
      <c r="AG591" s="109"/>
      <c r="AH591" s="109"/>
    </row>
    <row r="592" spans="1:34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R592" s="3"/>
      <c r="S592" s="3"/>
      <c r="X592" s="294" t="s">
        <v>95</v>
      </c>
      <c r="Y592" s="295" t="s">
        <v>5</v>
      </c>
      <c r="Z592" s="296">
        <v>10</v>
      </c>
      <c r="AA592" s="296" t="s">
        <v>28</v>
      </c>
      <c r="AB592" s="348" t="s">
        <v>459</v>
      </c>
      <c r="AC592" s="297">
        <v>300</v>
      </c>
      <c r="AD592" s="459">
        <f t="shared" si="125"/>
        <v>533.70000000000005</v>
      </c>
      <c r="AE592" s="428">
        <f t="shared" si="125"/>
        <v>472.7</v>
      </c>
      <c r="AF592" s="438">
        <f t="shared" si="125"/>
        <v>472.7</v>
      </c>
      <c r="AG592" s="109"/>
      <c r="AH592" s="109"/>
    </row>
    <row r="593" spans="1:34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R593" s="3"/>
      <c r="S593" s="3"/>
      <c r="X593" s="294" t="s">
        <v>39</v>
      </c>
      <c r="Y593" s="295" t="s">
        <v>5</v>
      </c>
      <c r="Z593" s="296">
        <v>10</v>
      </c>
      <c r="AA593" s="296" t="s">
        <v>28</v>
      </c>
      <c r="AB593" s="348" t="s">
        <v>459</v>
      </c>
      <c r="AC593" s="297">
        <v>320</v>
      </c>
      <c r="AD593" s="459">
        <f>472.7+61</f>
        <v>533.70000000000005</v>
      </c>
      <c r="AE593" s="428">
        <v>472.7</v>
      </c>
      <c r="AF593" s="438">
        <v>472.7</v>
      </c>
      <c r="AG593" s="109"/>
      <c r="AH593" s="109"/>
    </row>
    <row r="594" spans="1:34" ht="18.75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R594" s="3"/>
      <c r="S594" s="3"/>
      <c r="X594" s="445" t="s">
        <v>405</v>
      </c>
      <c r="Y594" s="291" t="s">
        <v>25</v>
      </c>
      <c r="Z594" s="322"/>
      <c r="AA594" s="326"/>
      <c r="AB594" s="353"/>
      <c r="AC594" s="324"/>
      <c r="AD594" s="458">
        <f>AD595+AD628+AD620</f>
        <v>46939.700000000004</v>
      </c>
      <c r="AE594" s="458">
        <f>AE595+AE628+AE620</f>
        <v>34510.700000000004</v>
      </c>
      <c r="AF594" s="458">
        <f>AF595+AF628+AF620</f>
        <v>35827.200000000004</v>
      </c>
      <c r="AG594" s="109"/>
      <c r="AH594" s="109"/>
    </row>
    <row r="595" spans="1:34" ht="18.75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R595" s="3"/>
      <c r="S595" s="3"/>
      <c r="X595" s="445" t="s">
        <v>24</v>
      </c>
      <c r="Y595" s="291" t="s">
        <v>25</v>
      </c>
      <c r="Z595" s="292" t="s">
        <v>28</v>
      </c>
      <c r="AA595" s="357"/>
      <c r="AB595" s="358"/>
      <c r="AC595" s="325"/>
      <c r="AD595" s="458">
        <f>AD596+AD614</f>
        <v>46120.4</v>
      </c>
      <c r="AE595" s="458">
        <f>AE596+AE614</f>
        <v>33472.800000000003</v>
      </c>
      <c r="AF595" s="458">
        <f>AF596+AF614</f>
        <v>34789.300000000003</v>
      </c>
      <c r="AG595" s="109"/>
      <c r="AH595" s="109"/>
    </row>
    <row r="596" spans="1:34" ht="31.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R596" s="3"/>
      <c r="S596" s="3"/>
      <c r="X596" s="294" t="s">
        <v>406</v>
      </c>
      <c r="Y596" s="295" t="s">
        <v>25</v>
      </c>
      <c r="Z596" s="296" t="s">
        <v>28</v>
      </c>
      <c r="AA596" s="296" t="s">
        <v>93</v>
      </c>
      <c r="AB596" s="351"/>
      <c r="AC596" s="297"/>
      <c r="AD596" s="459">
        <f t="shared" ref="AD596:AF597" si="126">AD597</f>
        <v>32247</v>
      </c>
      <c r="AE596" s="428">
        <f t="shared" si="126"/>
        <v>31966.9</v>
      </c>
      <c r="AF596" s="438">
        <f t="shared" si="126"/>
        <v>32226.600000000002</v>
      </c>
      <c r="AG596" s="109"/>
      <c r="AH596" s="109"/>
    </row>
    <row r="597" spans="1:34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R597" s="3"/>
      <c r="S597" s="3"/>
      <c r="X597" s="299" t="s">
        <v>184</v>
      </c>
      <c r="Y597" s="295" t="s">
        <v>25</v>
      </c>
      <c r="Z597" s="296" t="s">
        <v>28</v>
      </c>
      <c r="AA597" s="296" t="s">
        <v>93</v>
      </c>
      <c r="AB597" s="348" t="s">
        <v>110</v>
      </c>
      <c r="AC597" s="297"/>
      <c r="AD597" s="459">
        <f t="shared" si="126"/>
        <v>32247</v>
      </c>
      <c r="AE597" s="428">
        <f t="shared" si="126"/>
        <v>31966.9</v>
      </c>
      <c r="AF597" s="438">
        <f t="shared" si="126"/>
        <v>32226.600000000002</v>
      </c>
      <c r="AG597" s="109"/>
      <c r="AH597" s="109"/>
    </row>
    <row r="598" spans="1:34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R598" s="3"/>
      <c r="S598" s="3"/>
      <c r="X598" s="299" t="s">
        <v>187</v>
      </c>
      <c r="Y598" s="295" t="s">
        <v>25</v>
      </c>
      <c r="Z598" s="296" t="s">
        <v>28</v>
      </c>
      <c r="AA598" s="296" t="s">
        <v>93</v>
      </c>
      <c r="AB598" s="348" t="s">
        <v>188</v>
      </c>
      <c r="AC598" s="297"/>
      <c r="AD598" s="459">
        <f>AD599+AD610</f>
        <v>32247</v>
      </c>
      <c r="AE598" s="428">
        <f>AE599+AE610</f>
        <v>31966.9</v>
      </c>
      <c r="AF598" s="438">
        <f>AF599+AF610</f>
        <v>32226.600000000002</v>
      </c>
      <c r="AG598" s="109"/>
      <c r="AH598" s="109"/>
    </row>
    <row r="599" spans="1:34" ht="31.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R599" s="3"/>
      <c r="S599" s="3"/>
      <c r="X599" s="299" t="s">
        <v>189</v>
      </c>
      <c r="Y599" s="295" t="s">
        <v>25</v>
      </c>
      <c r="Z599" s="296" t="s">
        <v>28</v>
      </c>
      <c r="AA599" s="296" t="s">
        <v>93</v>
      </c>
      <c r="AB599" s="348" t="s">
        <v>190</v>
      </c>
      <c r="AC599" s="297"/>
      <c r="AD599" s="459">
        <f>AD600</f>
        <v>32168.2</v>
      </c>
      <c r="AE599" s="428">
        <f>AE600</f>
        <v>31765.600000000002</v>
      </c>
      <c r="AF599" s="438">
        <f>AF600</f>
        <v>31765.600000000002</v>
      </c>
      <c r="AG599" s="109"/>
      <c r="AH599" s="109"/>
    </row>
    <row r="600" spans="1:34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R600" s="3"/>
      <c r="S600" s="3"/>
      <c r="X600" s="307" t="s">
        <v>207</v>
      </c>
      <c r="Y600" s="295" t="s">
        <v>25</v>
      </c>
      <c r="Z600" s="296" t="s">
        <v>28</v>
      </c>
      <c r="AA600" s="296" t="s">
        <v>93</v>
      </c>
      <c r="AB600" s="350" t="s">
        <v>208</v>
      </c>
      <c r="AC600" s="297"/>
      <c r="AD600" s="459">
        <f>AD601+AD604+AD607</f>
        <v>32168.2</v>
      </c>
      <c r="AE600" s="428">
        <f>AE601+AE604+AE607</f>
        <v>31765.600000000002</v>
      </c>
      <c r="AF600" s="438">
        <f>AF601+AF604+AF607</f>
        <v>31765.600000000002</v>
      </c>
      <c r="AG600" s="109"/>
      <c r="AH600" s="109"/>
    </row>
    <row r="601" spans="1:34" ht="31.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R601" s="3"/>
      <c r="S601" s="3"/>
      <c r="X601" s="294" t="s">
        <v>209</v>
      </c>
      <c r="Y601" s="295" t="s">
        <v>25</v>
      </c>
      <c r="Z601" s="296" t="s">
        <v>28</v>
      </c>
      <c r="AA601" s="296" t="s">
        <v>93</v>
      </c>
      <c r="AB601" s="350" t="s">
        <v>210</v>
      </c>
      <c r="AC601" s="297"/>
      <c r="AD601" s="459">
        <f t="shared" ref="AD601:AF602" si="127">AD602</f>
        <v>3669.3</v>
      </c>
      <c r="AE601" s="428">
        <f t="shared" si="127"/>
        <v>3657.8</v>
      </c>
      <c r="AF601" s="438">
        <f t="shared" si="127"/>
        <v>3657.8</v>
      </c>
      <c r="AG601" s="109"/>
      <c r="AH601" s="109"/>
    </row>
    <row r="602" spans="1:34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R602" s="3"/>
      <c r="S602" s="3"/>
      <c r="X602" s="294" t="s">
        <v>118</v>
      </c>
      <c r="Y602" s="295" t="s">
        <v>25</v>
      </c>
      <c r="Z602" s="296" t="s">
        <v>28</v>
      </c>
      <c r="AA602" s="296" t="s">
        <v>93</v>
      </c>
      <c r="AB602" s="350" t="s">
        <v>210</v>
      </c>
      <c r="AC602" s="297">
        <v>200</v>
      </c>
      <c r="AD602" s="459">
        <f t="shared" si="127"/>
        <v>3669.3</v>
      </c>
      <c r="AE602" s="428">
        <f t="shared" si="127"/>
        <v>3657.8</v>
      </c>
      <c r="AF602" s="438">
        <f t="shared" si="127"/>
        <v>3657.8</v>
      </c>
      <c r="AG602" s="109"/>
      <c r="AH602" s="109"/>
    </row>
    <row r="603" spans="1:34" ht="31.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R603" s="3"/>
      <c r="S603" s="3"/>
      <c r="X603" s="294" t="s">
        <v>51</v>
      </c>
      <c r="Y603" s="295" t="s">
        <v>25</v>
      </c>
      <c r="Z603" s="296" t="s">
        <v>28</v>
      </c>
      <c r="AA603" s="296" t="s">
        <v>93</v>
      </c>
      <c r="AB603" s="350" t="s">
        <v>210</v>
      </c>
      <c r="AC603" s="297">
        <v>240</v>
      </c>
      <c r="AD603" s="459">
        <f>3657.8+11.5</f>
        <v>3669.3</v>
      </c>
      <c r="AE603" s="428">
        <v>3657.8</v>
      </c>
      <c r="AF603" s="438">
        <v>3657.8</v>
      </c>
      <c r="AG603" s="109"/>
      <c r="AH603" s="109"/>
    </row>
    <row r="604" spans="1:34" ht="31.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R604" s="3"/>
      <c r="S604" s="3"/>
      <c r="X604" s="294" t="s">
        <v>214</v>
      </c>
      <c r="Y604" s="295" t="s">
        <v>25</v>
      </c>
      <c r="Z604" s="296" t="s">
        <v>28</v>
      </c>
      <c r="AA604" s="296" t="s">
        <v>93</v>
      </c>
      <c r="AB604" s="347" t="str">
        <f>AB605</f>
        <v>12 5 01 00162</v>
      </c>
      <c r="AC604" s="297"/>
      <c r="AD604" s="459">
        <f>AD606</f>
        <v>15536.1</v>
      </c>
      <c r="AE604" s="428">
        <f>AE606</f>
        <v>15536.1</v>
      </c>
      <c r="AF604" s="438">
        <f>AF606</f>
        <v>15536.1</v>
      </c>
      <c r="AG604" s="109"/>
      <c r="AH604" s="109"/>
    </row>
    <row r="605" spans="1:34" ht="47.2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R605" s="3"/>
      <c r="S605" s="3"/>
      <c r="X605" s="294" t="s">
        <v>40</v>
      </c>
      <c r="Y605" s="295" t="s">
        <v>25</v>
      </c>
      <c r="Z605" s="296" t="s">
        <v>28</v>
      </c>
      <c r="AA605" s="296" t="s">
        <v>93</v>
      </c>
      <c r="AB605" s="347" t="str">
        <f>AB606</f>
        <v>12 5 01 00162</v>
      </c>
      <c r="AC605" s="297">
        <v>100</v>
      </c>
      <c r="AD605" s="459">
        <f>AD606</f>
        <v>15536.1</v>
      </c>
      <c r="AE605" s="428">
        <f>AE606</f>
        <v>15536.1</v>
      </c>
      <c r="AF605" s="438">
        <f>AF606</f>
        <v>15536.1</v>
      </c>
      <c r="AG605" s="109"/>
      <c r="AH605" s="109"/>
    </row>
    <row r="606" spans="1:34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R606" s="3"/>
      <c r="S606" s="3"/>
      <c r="X606" s="294" t="s">
        <v>94</v>
      </c>
      <c r="Y606" s="295" t="s">
        <v>25</v>
      </c>
      <c r="Z606" s="296" t="s">
        <v>28</v>
      </c>
      <c r="AA606" s="296" t="s">
        <v>93</v>
      </c>
      <c r="AB606" s="350" t="s">
        <v>211</v>
      </c>
      <c r="AC606" s="297">
        <v>120</v>
      </c>
      <c r="AD606" s="459">
        <f>18060.7-2524.6</f>
        <v>15536.1</v>
      </c>
      <c r="AE606" s="428">
        <f>18060.7-2524.6</f>
        <v>15536.1</v>
      </c>
      <c r="AF606" s="438">
        <f>18060.7-2524.6</f>
        <v>15536.1</v>
      </c>
      <c r="AG606" s="109"/>
      <c r="AH606" s="109"/>
    </row>
    <row r="607" spans="1:34" ht="31.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R607" s="3"/>
      <c r="S607" s="3"/>
      <c r="X607" s="294" t="s">
        <v>213</v>
      </c>
      <c r="Y607" s="295" t="s">
        <v>25</v>
      </c>
      <c r="Z607" s="296" t="s">
        <v>28</v>
      </c>
      <c r="AA607" s="296" t="s">
        <v>93</v>
      </c>
      <c r="AB607" s="347" t="str">
        <f>AB608</f>
        <v>12 5 01 00163</v>
      </c>
      <c r="AC607" s="297"/>
      <c r="AD607" s="459">
        <f>AD609</f>
        <v>12962.8</v>
      </c>
      <c r="AE607" s="428">
        <f>AE609</f>
        <v>12571.7</v>
      </c>
      <c r="AF607" s="438">
        <f>AF609</f>
        <v>12571.7</v>
      </c>
      <c r="AG607" s="109"/>
      <c r="AH607" s="109"/>
    </row>
    <row r="608" spans="1:34" ht="47.2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R608" s="3"/>
      <c r="S608" s="3"/>
      <c r="X608" s="294" t="s">
        <v>40</v>
      </c>
      <c r="Y608" s="295" t="s">
        <v>25</v>
      </c>
      <c r="Z608" s="296" t="s">
        <v>28</v>
      </c>
      <c r="AA608" s="296" t="s">
        <v>93</v>
      </c>
      <c r="AB608" s="347" t="str">
        <f>AB609</f>
        <v>12 5 01 00163</v>
      </c>
      <c r="AC608" s="297">
        <v>100</v>
      </c>
      <c r="AD608" s="459">
        <f>AD609</f>
        <v>12962.8</v>
      </c>
      <c r="AE608" s="428">
        <f>AE609</f>
        <v>12571.7</v>
      </c>
      <c r="AF608" s="438">
        <f>AF609</f>
        <v>12571.7</v>
      </c>
      <c r="AG608" s="109"/>
      <c r="AH608" s="109"/>
    </row>
    <row r="609" spans="1:34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R609" s="3"/>
      <c r="S609" s="3"/>
      <c r="X609" s="294" t="s">
        <v>94</v>
      </c>
      <c r="Y609" s="295" t="s">
        <v>25</v>
      </c>
      <c r="Z609" s="296" t="s">
        <v>28</v>
      </c>
      <c r="AA609" s="296" t="s">
        <v>93</v>
      </c>
      <c r="AB609" s="350" t="s">
        <v>212</v>
      </c>
      <c r="AC609" s="297">
        <v>120</v>
      </c>
      <c r="AD609" s="459">
        <f>12571.7+48.3+342.8</f>
        <v>12962.8</v>
      </c>
      <c r="AE609" s="428">
        <v>12571.7</v>
      </c>
      <c r="AF609" s="438">
        <v>12571.7</v>
      </c>
      <c r="AG609" s="109"/>
      <c r="AH609" s="109"/>
    </row>
    <row r="610" spans="1:34" ht="31.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R610" s="3"/>
      <c r="S610" s="3"/>
      <c r="X610" s="294" t="s">
        <v>529</v>
      </c>
      <c r="Y610" s="295" t="s">
        <v>25</v>
      </c>
      <c r="Z610" s="296" t="s">
        <v>28</v>
      </c>
      <c r="AA610" s="296" t="s">
        <v>93</v>
      </c>
      <c r="AB610" s="350" t="s">
        <v>530</v>
      </c>
      <c r="AC610" s="297"/>
      <c r="AD610" s="459">
        <f>AD611</f>
        <v>78.799999999999983</v>
      </c>
      <c r="AE610" s="428">
        <f t="shared" ref="AE610:AF612" si="128">AE611</f>
        <v>201.3</v>
      </c>
      <c r="AF610" s="438">
        <f t="shared" si="128"/>
        <v>461</v>
      </c>
      <c r="AG610" s="109"/>
      <c r="AH610" s="109"/>
    </row>
    <row r="611" spans="1:34" ht="78.7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R611" s="3"/>
      <c r="S611" s="3"/>
      <c r="X611" s="294" t="s">
        <v>401</v>
      </c>
      <c r="Y611" s="295" t="s">
        <v>25</v>
      </c>
      <c r="Z611" s="296" t="s">
        <v>28</v>
      </c>
      <c r="AA611" s="296" t="s">
        <v>93</v>
      </c>
      <c r="AB611" s="348" t="s">
        <v>531</v>
      </c>
      <c r="AC611" s="297"/>
      <c r="AD611" s="459">
        <f>AD612</f>
        <v>78.799999999999983</v>
      </c>
      <c r="AE611" s="428">
        <f t="shared" si="128"/>
        <v>201.3</v>
      </c>
      <c r="AF611" s="438">
        <f t="shared" si="128"/>
        <v>461</v>
      </c>
      <c r="AG611" s="109"/>
      <c r="AH611" s="109"/>
    </row>
    <row r="612" spans="1:34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R612" s="3"/>
      <c r="S612" s="3"/>
      <c r="X612" s="294" t="s">
        <v>118</v>
      </c>
      <c r="Y612" s="295" t="s">
        <v>25</v>
      </c>
      <c r="Z612" s="296" t="s">
        <v>28</v>
      </c>
      <c r="AA612" s="296" t="s">
        <v>93</v>
      </c>
      <c r="AB612" s="348" t="s">
        <v>531</v>
      </c>
      <c r="AC612" s="297">
        <v>200</v>
      </c>
      <c r="AD612" s="459">
        <f>AD613</f>
        <v>78.799999999999983</v>
      </c>
      <c r="AE612" s="428">
        <f t="shared" si="128"/>
        <v>201.3</v>
      </c>
      <c r="AF612" s="438">
        <f t="shared" si="128"/>
        <v>461</v>
      </c>
      <c r="AG612" s="109"/>
      <c r="AH612" s="109"/>
    </row>
    <row r="613" spans="1:34" ht="31.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R613" s="3"/>
      <c r="S613" s="3"/>
      <c r="X613" s="294" t="s">
        <v>51</v>
      </c>
      <c r="Y613" s="295" t="s">
        <v>25</v>
      </c>
      <c r="Z613" s="296" t="s">
        <v>28</v>
      </c>
      <c r="AA613" s="296" t="s">
        <v>93</v>
      </c>
      <c r="AB613" s="348" t="s">
        <v>531</v>
      </c>
      <c r="AC613" s="297">
        <v>240</v>
      </c>
      <c r="AD613" s="459">
        <f>193.7-114.9</f>
        <v>78.799999999999983</v>
      </c>
      <c r="AE613" s="428">
        <v>201.3</v>
      </c>
      <c r="AF613" s="438">
        <v>461</v>
      </c>
      <c r="AG613" s="109"/>
      <c r="AH613" s="109"/>
    </row>
    <row r="614" spans="1:34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R614" s="3"/>
      <c r="S614" s="3"/>
      <c r="X614" s="294" t="s">
        <v>13</v>
      </c>
      <c r="Y614" s="295" t="s">
        <v>25</v>
      </c>
      <c r="Z614" s="296" t="s">
        <v>28</v>
      </c>
      <c r="AA614" s="296">
        <v>13</v>
      </c>
      <c r="AB614" s="351"/>
      <c r="AC614" s="297"/>
      <c r="AD614" s="459">
        <f>AD615</f>
        <v>13873.400000000001</v>
      </c>
      <c r="AE614" s="459">
        <f t="shared" ref="AE614:AF616" si="129">AE615</f>
        <v>1505.8999999999996</v>
      </c>
      <c r="AF614" s="459">
        <f t="shared" si="129"/>
        <v>2562.7000000000003</v>
      </c>
      <c r="AG614" s="109"/>
      <c r="AH614" s="109"/>
    </row>
    <row r="615" spans="1:34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R615" s="3"/>
      <c r="S615" s="3"/>
      <c r="X615" s="299" t="s">
        <v>223</v>
      </c>
      <c r="Y615" s="295" t="s">
        <v>25</v>
      </c>
      <c r="Z615" s="296" t="s">
        <v>28</v>
      </c>
      <c r="AA615" s="296">
        <v>13</v>
      </c>
      <c r="AB615" s="348" t="s">
        <v>135</v>
      </c>
      <c r="AC615" s="297"/>
      <c r="AD615" s="459">
        <f>AD616</f>
        <v>13873.400000000001</v>
      </c>
      <c r="AE615" s="459">
        <f t="shared" si="129"/>
        <v>1505.8999999999996</v>
      </c>
      <c r="AF615" s="459">
        <f t="shared" si="129"/>
        <v>2562.7000000000003</v>
      </c>
      <c r="AG615" s="109"/>
      <c r="AH615" s="109"/>
    </row>
    <row r="616" spans="1:34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R616" s="3"/>
      <c r="S616" s="3"/>
      <c r="X616" s="294" t="s">
        <v>422</v>
      </c>
      <c r="Y616" s="295" t="s">
        <v>25</v>
      </c>
      <c r="Z616" s="310" t="s">
        <v>28</v>
      </c>
      <c r="AA616" s="310">
        <v>13</v>
      </c>
      <c r="AB616" s="352" t="s">
        <v>423</v>
      </c>
      <c r="AC616" s="297"/>
      <c r="AD616" s="459">
        <f>AD617</f>
        <v>13873.400000000001</v>
      </c>
      <c r="AE616" s="459">
        <f t="shared" si="129"/>
        <v>1505.8999999999996</v>
      </c>
      <c r="AF616" s="459">
        <f t="shared" si="129"/>
        <v>2562.7000000000003</v>
      </c>
      <c r="AG616" s="109"/>
      <c r="AH616" s="109"/>
    </row>
    <row r="617" spans="1:34" ht="31.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R617" s="3"/>
      <c r="S617" s="3"/>
      <c r="X617" s="294" t="s">
        <v>425</v>
      </c>
      <c r="Y617" s="295" t="s">
        <v>25</v>
      </c>
      <c r="Z617" s="310" t="s">
        <v>28</v>
      </c>
      <c r="AA617" s="310">
        <v>13</v>
      </c>
      <c r="AB617" s="352" t="s">
        <v>426</v>
      </c>
      <c r="AC617" s="311"/>
      <c r="AD617" s="459">
        <f t="shared" ref="AD617:AF618" si="130">AD618</f>
        <v>13873.400000000001</v>
      </c>
      <c r="AE617" s="428">
        <f t="shared" si="130"/>
        <v>1505.8999999999996</v>
      </c>
      <c r="AF617" s="438">
        <f t="shared" si="130"/>
        <v>2562.7000000000003</v>
      </c>
      <c r="AG617" s="109"/>
      <c r="AH617" s="109"/>
    </row>
    <row r="618" spans="1:34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R618" s="3"/>
      <c r="S618" s="3"/>
      <c r="X618" s="294" t="s">
        <v>41</v>
      </c>
      <c r="Y618" s="295" t="s">
        <v>25</v>
      </c>
      <c r="Z618" s="310" t="s">
        <v>28</v>
      </c>
      <c r="AA618" s="310">
        <v>13</v>
      </c>
      <c r="AB618" s="352" t="s">
        <v>426</v>
      </c>
      <c r="AC618" s="311">
        <v>800</v>
      </c>
      <c r="AD618" s="459">
        <f t="shared" si="130"/>
        <v>13873.400000000001</v>
      </c>
      <c r="AE618" s="428">
        <f t="shared" si="130"/>
        <v>1505.8999999999996</v>
      </c>
      <c r="AF618" s="438">
        <f t="shared" si="130"/>
        <v>2562.7000000000003</v>
      </c>
      <c r="AG618" s="109"/>
      <c r="AH618" s="109"/>
    </row>
    <row r="619" spans="1:34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R619" s="3"/>
      <c r="S619" s="3"/>
      <c r="X619" s="294" t="s">
        <v>134</v>
      </c>
      <c r="Y619" s="295" t="s">
        <v>25</v>
      </c>
      <c r="Z619" s="310" t="s">
        <v>28</v>
      </c>
      <c r="AA619" s="310">
        <v>13</v>
      </c>
      <c r="AB619" s="352" t="s">
        <v>426</v>
      </c>
      <c r="AC619" s="311">
        <v>870</v>
      </c>
      <c r="AD619" s="460">
        <f>6524.5-1521.1-442-1506.1+160-3000+4000+346.1+18000-3676-5248.2-0.7-669-167.8-327.6-4000-1132.1+15571.4-9038</f>
        <v>13873.400000000001</v>
      </c>
      <c r="AE619" s="428">
        <f>2564.9+132.7-1.3-1190.4</f>
        <v>1505.8999999999996</v>
      </c>
      <c r="AF619" s="438">
        <f>2563.3-0.6</f>
        <v>2562.7000000000003</v>
      </c>
      <c r="AG619" s="109"/>
      <c r="AH619" s="109"/>
    </row>
    <row r="620" spans="1:34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R620" s="3"/>
      <c r="S620" s="3"/>
      <c r="X620" s="445" t="s">
        <v>3</v>
      </c>
      <c r="Y620" s="295" t="s">
        <v>25</v>
      </c>
      <c r="Z620" s="312" t="s">
        <v>7</v>
      </c>
      <c r="AA620" s="296"/>
      <c r="AB620" s="348"/>
      <c r="AC620" s="297"/>
      <c r="AD620" s="458">
        <f>AD621</f>
        <v>9.3000000000000007</v>
      </c>
      <c r="AE620" s="458">
        <f>AE621</f>
        <v>0</v>
      </c>
      <c r="AF620" s="458">
        <f>AF621</f>
        <v>0</v>
      </c>
      <c r="AG620" s="109"/>
      <c r="AH620" s="109"/>
    </row>
    <row r="621" spans="1:34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R621" s="3"/>
      <c r="S621" s="3"/>
      <c r="X621" s="294" t="s">
        <v>37</v>
      </c>
      <c r="Y621" s="295" t="s">
        <v>25</v>
      </c>
      <c r="Z621" s="296" t="s">
        <v>7</v>
      </c>
      <c r="AA621" s="296" t="s">
        <v>21</v>
      </c>
      <c r="AB621" s="347"/>
      <c r="AC621" s="297"/>
      <c r="AD621" s="459">
        <f>AD623</f>
        <v>9.3000000000000007</v>
      </c>
      <c r="AE621" s="428">
        <f>AE623</f>
        <v>0</v>
      </c>
      <c r="AF621" s="438">
        <f>AF623</f>
        <v>0</v>
      </c>
      <c r="AG621" s="109"/>
      <c r="AH621" s="109"/>
    </row>
    <row r="622" spans="1:34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R622" s="3"/>
      <c r="S622" s="3"/>
      <c r="X622" s="299" t="s">
        <v>290</v>
      </c>
      <c r="Y622" s="295" t="s">
        <v>25</v>
      </c>
      <c r="Z622" s="296" t="s">
        <v>7</v>
      </c>
      <c r="AA622" s="296" t="s">
        <v>21</v>
      </c>
      <c r="AB622" s="348" t="s">
        <v>107</v>
      </c>
      <c r="AC622" s="297"/>
      <c r="AD622" s="459">
        <f t="shared" ref="AD622:AF626" si="131">AD623</f>
        <v>9.3000000000000007</v>
      </c>
      <c r="AE622" s="428">
        <f t="shared" si="131"/>
        <v>0</v>
      </c>
      <c r="AF622" s="438">
        <f t="shared" si="131"/>
        <v>0</v>
      </c>
      <c r="AG622" s="109"/>
      <c r="AH622" s="109"/>
    </row>
    <row r="623" spans="1:34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R623" s="3"/>
      <c r="S623" s="3"/>
      <c r="X623" s="299" t="s">
        <v>294</v>
      </c>
      <c r="Y623" s="295" t="s">
        <v>25</v>
      </c>
      <c r="Z623" s="296" t="s">
        <v>7</v>
      </c>
      <c r="AA623" s="296" t="s">
        <v>21</v>
      </c>
      <c r="AB623" s="348" t="s">
        <v>108</v>
      </c>
      <c r="AC623" s="297"/>
      <c r="AD623" s="459">
        <f t="shared" si="131"/>
        <v>9.3000000000000007</v>
      </c>
      <c r="AE623" s="428">
        <f t="shared" si="131"/>
        <v>0</v>
      </c>
      <c r="AF623" s="438">
        <f t="shared" si="131"/>
        <v>0</v>
      </c>
      <c r="AG623" s="109"/>
      <c r="AH623" s="109"/>
    </row>
    <row r="624" spans="1:34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R624" s="3"/>
      <c r="S624" s="3"/>
      <c r="X624" s="453" t="s">
        <v>499</v>
      </c>
      <c r="Y624" s="295" t="s">
        <v>25</v>
      </c>
      <c r="Z624" s="296" t="s">
        <v>7</v>
      </c>
      <c r="AA624" s="296" t="s">
        <v>21</v>
      </c>
      <c r="AB624" s="348" t="s">
        <v>498</v>
      </c>
      <c r="AC624" s="297"/>
      <c r="AD624" s="459">
        <f>AD625</f>
        <v>9.3000000000000007</v>
      </c>
      <c r="AE624" s="459">
        <f t="shared" si="131"/>
        <v>0</v>
      </c>
      <c r="AF624" s="459">
        <f t="shared" si="131"/>
        <v>0</v>
      </c>
      <c r="AG624" s="109"/>
      <c r="AH624" s="109"/>
    </row>
    <row r="625" spans="1:34" ht="47.2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R625" s="3"/>
      <c r="S625" s="3"/>
      <c r="X625" s="453" t="s">
        <v>831</v>
      </c>
      <c r="Y625" s="295" t="s">
        <v>25</v>
      </c>
      <c r="Z625" s="296" t="s">
        <v>7</v>
      </c>
      <c r="AA625" s="296" t="s">
        <v>21</v>
      </c>
      <c r="AB625" s="348" t="s">
        <v>832</v>
      </c>
      <c r="AC625" s="297"/>
      <c r="AD625" s="459">
        <f>AD626</f>
        <v>9.3000000000000007</v>
      </c>
      <c r="AE625" s="459">
        <f t="shared" si="131"/>
        <v>0</v>
      </c>
      <c r="AF625" s="459">
        <f t="shared" si="131"/>
        <v>0</v>
      </c>
      <c r="AG625" s="109"/>
      <c r="AH625" s="109"/>
    </row>
    <row r="626" spans="1:34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R626" s="3"/>
      <c r="S626" s="3"/>
      <c r="X626" s="294" t="s">
        <v>95</v>
      </c>
      <c r="Y626" s="295" t="s">
        <v>25</v>
      </c>
      <c r="Z626" s="296" t="s">
        <v>7</v>
      </c>
      <c r="AA626" s="296" t="s">
        <v>21</v>
      </c>
      <c r="AB626" s="348" t="s">
        <v>832</v>
      </c>
      <c r="AC626" s="297">
        <v>300</v>
      </c>
      <c r="AD626" s="459">
        <f>AD627</f>
        <v>9.3000000000000007</v>
      </c>
      <c r="AE626" s="459">
        <f t="shared" si="131"/>
        <v>0</v>
      </c>
      <c r="AF626" s="459">
        <f t="shared" si="131"/>
        <v>0</v>
      </c>
      <c r="AG626" s="109"/>
      <c r="AH626" s="109"/>
    </row>
    <row r="627" spans="1:34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R627" s="3"/>
      <c r="S627" s="3"/>
      <c r="X627" s="294" t="s">
        <v>39</v>
      </c>
      <c r="Y627" s="295" t="s">
        <v>25</v>
      </c>
      <c r="Z627" s="296" t="s">
        <v>7</v>
      </c>
      <c r="AA627" s="296" t="s">
        <v>21</v>
      </c>
      <c r="AB627" s="348" t="s">
        <v>832</v>
      </c>
      <c r="AC627" s="297">
        <v>320</v>
      </c>
      <c r="AD627" s="459">
        <v>9.3000000000000007</v>
      </c>
      <c r="AE627" s="459">
        <v>0</v>
      </c>
      <c r="AF627" s="459">
        <v>0</v>
      </c>
      <c r="AG627" s="109"/>
      <c r="AH627" s="109"/>
    </row>
    <row r="628" spans="1:34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R628" s="3"/>
      <c r="S628" s="3"/>
      <c r="X628" s="445" t="s">
        <v>92</v>
      </c>
      <c r="Y628" s="291" t="s">
        <v>25</v>
      </c>
      <c r="Z628" s="312" t="s">
        <v>35</v>
      </c>
      <c r="AA628" s="346"/>
      <c r="AB628" s="345"/>
      <c r="AC628" s="317"/>
      <c r="AD628" s="458">
        <f t="shared" ref="AD628:AF634" si="132">AD629</f>
        <v>810.00000000000011</v>
      </c>
      <c r="AE628" s="427">
        <f t="shared" si="132"/>
        <v>1037.9000000000001</v>
      </c>
      <c r="AF628" s="437">
        <f t="shared" si="132"/>
        <v>1037.9000000000001</v>
      </c>
      <c r="AG628" s="109"/>
      <c r="AH628" s="109"/>
    </row>
    <row r="629" spans="1:34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R629" s="3"/>
      <c r="S629" s="3"/>
      <c r="X629" s="294" t="s">
        <v>54</v>
      </c>
      <c r="Y629" s="295" t="s">
        <v>25</v>
      </c>
      <c r="Z629" s="296">
        <v>10</v>
      </c>
      <c r="AA629" s="296" t="s">
        <v>28</v>
      </c>
      <c r="AB629" s="347"/>
      <c r="AC629" s="293"/>
      <c r="AD629" s="459">
        <f t="shared" si="132"/>
        <v>810.00000000000011</v>
      </c>
      <c r="AE629" s="428">
        <f t="shared" si="132"/>
        <v>1037.9000000000001</v>
      </c>
      <c r="AF629" s="438">
        <f t="shared" si="132"/>
        <v>1037.9000000000001</v>
      </c>
      <c r="AG629" s="109"/>
      <c r="AH629" s="109"/>
    </row>
    <row r="630" spans="1:34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R630" s="3"/>
      <c r="S630" s="3"/>
      <c r="X630" s="299" t="s">
        <v>290</v>
      </c>
      <c r="Y630" s="295" t="s">
        <v>25</v>
      </c>
      <c r="Z630" s="296">
        <v>10</v>
      </c>
      <c r="AA630" s="296" t="s">
        <v>28</v>
      </c>
      <c r="AB630" s="348" t="s">
        <v>107</v>
      </c>
      <c r="AC630" s="293"/>
      <c r="AD630" s="459">
        <f t="shared" si="132"/>
        <v>810.00000000000011</v>
      </c>
      <c r="AE630" s="428">
        <f t="shared" si="132"/>
        <v>1037.9000000000001</v>
      </c>
      <c r="AF630" s="438">
        <f t="shared" si="132"/>
        <v>1037.9000000000001</v>
      </c>
      <c r="AG630" s="109"/>
      <c r="AH630" s="109"/>
    </row>
    <row r="631" spans="1:34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R631" s="3"/>
      <c r="S631" s="3"/>
      <c r="X631" s="299" t="s">
        <v>291</v>
      </c>
      <c r="Y631" s="295" t="s">
        <v>25</v>
      </c>
      <c r="Z631" s="296">
        <v>10</v>
      </c>
      <c r="AA631" s="296" t="s">
        <v>28</v>
      </c>
      <c r="AB631" s="348" t="s">
        <v>116</v>
      </c>
      <c r="AC631" s="293"/>
      <c r="AD631" s="459">
        <f t="shared" si="132"/>
        <v>810.00000000000011</v>
      </c>
      <c r="AE631" s="428">
        <f t="shared" si="132"/>
        <v>1037.9000000000001</v>
      </c>
      <c r="AF631" s="438">
        <f t="shared" si="132"/>
        <v>1037.9000000000001</v>
      </c>
      <c r="AG631" s="109"/>
      <c r="AH631" s="109"/>
    </row>
    <row r="632" spans="1:34" ht="31.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R632" s="3"/>
      <c r="S632" s="3"/>
      <c r="X632" s="299" t="s">
        <v>461</v>
      </c>
      <c r="Y632" s="295" t="s">
        <v>25</v>
      </c>
      <c r="Z632" s="296">
        <v>10</v>
      </c>
      <c r="AA632" s="296" t="s">
        <v>28</v>
      </c>
      <c r="AB632" s="348" t="s">
        <v>460</v>
      </c>
      <c r="AC632" s="293"/>
      <c r="AD632" s="459">
        <f t="shared" si="132"/>
        <v>810.00000000000011</v>
      </c>
      <c r="AE632" s="428">
        <f t="shared" si="132"/>
        <v>1037.9000000000001</v>
      </c>
      <c r="AF632" s="438">
        <f t="shared" si="132"/>
        <v>1037.9000000000001</v>
      </c>
      <c r="AG632" s="109"/>
      <c r="AH632" s="109"/>
    </row>
    <row r="633" spans="1:34" ht="31.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R633" s="3"/>
      <c r="S633" s="3"/>
      <c r="X633" s="307" t="s">
        <v>293</v>
      </c>
      <c r="Y633" s="295" t="s">
        <v>25</v>
      </c>
      <c r="Z633" s="296">
        <v>10</v>
      </c>
      <c r="AA633" s="296" t="s">
        <v>28</v>
      </c>
      <c r="AB633" s="348" t="s">
        <v>459</v>
      </c>
      <c r="AC633" s="293"/>
      <c r="AD633" s="459">
        <f t="shared" si="132"/>
        <v>810.00000000000011</v>
      </c>
      <c r="AE633" s="428">
        <f t="shared" si="132"/>
        <v>1037.9000000000001</v>
      </c>
      <c r="AF633" s="438">
        <f t="shared" si="132"/>
        <v>1037.9000000000001</v>
      </c>
      <c r="AG633" s="109"/>
      <c r="AH633" s="109"/>
    </row>
    <row r="634" spans="1:34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R634" s="3"/>
      <c r="S634" s="3"/>
      <c r="X634" s="294" t="s">
        <v>95</v>
      </c>
      <c r="Y634" s="295" t="s">
        <v>25</v>
      </c>
      <c r="Z634" s="296">
        <v>10</v>
      </c>
      <c r="AA634" s="296" t="s">
        <v>28</v>
      </c>
      <c r="AB634" s="348" t="s">
        <v>459</v>
      </c>
      <c r="AC634" s="297">
        <v>300</v>
      </c>
      <c r="AD634" s="459">
        <f t="shared" si="132"/>
        <v>810.00000000000011</v>
      </c>
      <c r="AE634" s="428">
        <f t="shared" si="132"/>
        <v>1037.9000000000001</v>
      </c>
      <c r="AF634" s="438">
        <f t="shared" si="132"/>
        <v>1037.9000000000001</v>
      </c>
      <c r="AG634" s="109"/>
      <c r="AH634" s="109"/>
    </row>
    <row r="635" spans="1:34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R635" s="3"/>
      <c r="S635" s="3"/>
      <c r="X635" s="294" t="s">
        <v>39</v>
      </c>
      <c r="Y635" s="295" t="s">
        <v>25</v>
      </c>
      <c r="Z635" s="296">
        <v>10</v>
      </c>
      <c r="AA635" s="296" t="s">
        <v>28</v>
      </c>
      <c r="AB635" s="348" t="s">
        <v>459</v>
      </c>
      <c r="AC635" s="297">
        <v>320</v>
      </c>
      <c r="AD635" s="459">
        <f>1037.9-227.9</f>
        <v>810.00000000000011</v>
      </c>
      <c r="AE635" s="428">
        <v>1037.9000000000001</v>
      </c>
      <c r="AF635" s="438">
        <v>1037.9000000000001</v>
      </c>
      <c r="AG635" s="109"/>
      <c r="AH635" s="109"/>
    </row>
    <row r="636" spans="1:34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R636" s="3"/>
      <c r="S636" s="3"/>
      <c r="X636" s="445" t="s">
        <v>407</v>
      </c>
      <c r="Y636" s="291" t="s">
        <v>58</v>
      </c>
      <c r="Z636" s="318"/>
      <c r="AA636" s="318"/>
      <c r="AB636" s="347"/>
      <c r="AC636" s="323"/>
      <c r="AD636" s="458">
        <f>AD637+AD676+AD668</f>
        <v>163420.70000000001</v>
      </c>
      <c r="AE636" s="427">
        <f>AE637+AE676</f>
        <v>28171.9</v>
      </c>
      <c r="AF636" s="437">
        <f>AF637+AF676</f>
        <v>27671.9</v>
      </c>
      <c r="AG636" s="109"/>
      <c r="AH636" s="109"/>
    </row>
    <row r="637" spans="1:34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R637" s="3"/>
      <c r="S637" s="3"/>
      <c r="X637" s="445" t="s">
        <v>24</v>
      </c>
      <c r="Y637" s="291" t="s">
        <v>58</v>
      </c>
      <c r="Z637" s="292" t="s">
        <v>28</v>
      </c>
      <c r="AA637" s="346"/>
      <c r="AB637" s="345"/>
      <c r="AC637" s="317"/>
      <c r="AD637" s="458">
        <f>AD638</f>
        <v>41499.200000000004</v>
      </c>
      <c r="AE637" s="427">
        <f t="shared" ref="AD637:AF639" si="133">AE638</f>
        <v>27332</v>
      </c>
      <c r="AF637" s="437">
        <f t="shared" si="133"/>
        <v>26832</v>
      </c>
      <c r="AG637" s="109"/>
      <c r="AH637" s="109"/>
    </row>
    <row r="638" spans="1:34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R638" s="3"/>
      <c r="S638" s="3"/>
      <c r="X638" s="294" t="s">
        <v>13</v>
      </c>
      <c r="Y638" s="295" t="s">
        <v>58</v>
      </c>
      <c r="Z638" s="296" t="s">
        <v>28</v>
      </c>
      <c r="AA638" s="296">
        <v>13</v>
      </c>
      <c r="AB638" s="347"/>
      <c r="AC638" s="323"/>
      <c r="AD638" s="459">
        <f>AD639+AD664</f>
        <v>41499.200000000004</v>
      </c>
      <c r="AE638" s="459">
        <f>AE639+AE664</f>
        <v>27332</v>
      </c>
      <c r="AF638" s="459">
        <f>AF639+AF664</f>
        <v>26832</v>
      </c>
      <c r="AG638" s="109"/>
      <c r="AH638" s="109"/>
    </row>
    <row r="639" spans="1:34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R639" s="3"/>
      <c r="S639" s="3"/>
      <c r="X639" s="299" t="s">
        <v>184</v>
      </c>
      <c r="Y639" s="295" t="s">
        <v>58</v>
      </c>
      <c r="Z639" s="296" t="s">
        <v>28</v>
      </c>
      <c r="AA639" s="296">
        <v>13</v>
      </c>
      <c r="AB639" s="348" t="s">
        <v>110</v>
      </c>
      <c r="AC639" s="297"/>
      <c r="AD639" s="459">
        <f t="shared" si="133"/>
        <v>41180.100000000006</v>
      </c>
      <c r="AE639" s="428">
        <f t="shared" si="133"/>
        <v>27332</v>
      </c>
      <c r="AF639" s="438">
        <f t="shared" si="133"/>
        <v>26832</v>
      </c>
      <c r="AG639" s="109"/>
      <c r="AH639" s="109"/>
    </row>
    <row r="640" spans="1:34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R640" s="3"/>
      <c r="S640" s="3"/>
      <c r="X640" s="451" t="s">
        <v>525</v>
      </c>
      <c r="Y640" s="295" t="s">
        <v>58</v>
      </c>
      <c r="Z640" s="296" t="s">
        <v>28</v>
      </c>
      <c r="AA640" s="296">
        <v>13</v>
      </c>
      <c r="AB640" s="348" t="s">
        <v>111</v>
      </c>
      <c r="AC640" s="297"/>
      <c r="AD640" s="459">
        <f>AD641+AD647+AD653</f>
        <v>41180.100000000006</v>
      </c>
      <c r="AE640" s="428">
        <f>AE641+AE647+AE653</f>
        <v>27332</v>
      </c>
      <c r="AF640" s="438">
        <f>AF641+AF647+AF653</f>
        <v>26832</v>
      </c>
      <c r="AG640" s="109"/>
      <c r="AH640" s="109"/>
    </row>
    <row r="641" spans="1:34" ht="31.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R641" s="3"/>
      <c r="S641" s="3"/>
      <c r="X641" s="307" t="s">
        <v>180</v>
      </c>
      <c r="Y641" s="295" t="s">
        <v>58</v>
      </c>
      <c r="Z641" s="296" t="s">
        <v>28</v>
      </c>
      <c r="AA641" s="296">
        <v>13</v>
      </c>
      <c r="AB641" s="348" t="s">
        <v>181</v>
      </c>
      <c r="AC641" s="297"/>
      <c r="AD641" s="459">
        <f t="shared" ref="AD641:AF643" si="134">AD642</f>
        <v>11476.900000000001</v>
      </c>
      <c r="AE641" s="428">
        <f t="shared" si="134"/>
        <v>500</v>
      </c>
      <c r="AF641" s="438">
        <f t="shared" si="134"/>
        <v>0</v>
      </c>
      <c r="AG641" s="109"/>
      <c r="AH641" s="109"/>
    </row>
    <row r="642" spans="1:34" ht="31.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R642" s="3"/>
      <c r="S642" s="3"/>
      <c r="X642" s="307" t="s">
        <v>756</v>
      </c>
      <c r="Y642" s="295" t="s">
        <v>58</v>
      </c>
      <c r="Z642" s="296" t="s">
        <v>28</v>
      </c>
      <c r="AA642" s="296">
        <v>13</v>
      </c>
      <c r="AB642" s="348" t="s">
        <v>183</v>
      </c>
      <c r="AC642" s="323"/>
      <c r="AD642" s="459">
        <f>AD643+AD645</f>
        <v>11476.900000000001</v>
      </c>
      <c r="AE642" s="459">
        <f>AE643+AE645</f>
        <v>500</v>
      </c>
      <c r="AF642" s="459">
        <f>AF643+AF645</f>
        <v>0</v>
      </c>
      <c r="AG642" s="109"/>
      <c r="AH642" s="109"/>
    </row>
    <row r="643" spans="1:34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R643" s="3"/>
      <c r="S643" s="3"/>
      <c r="X643" s="294" t="s">
        <v>118</v>
      </c>
      <c r="Y643" s="295" t="s">
        <v>58</v>
      </c>
      <c r="Z643" s="296" t="s">
        <v>28</v>
      </c>
      <c r="AA643" s="296">
        <v>13</v>
      </c>
      <c r="AB643" s="348" t="s">
        <v>183</v>
      </c>
      <c r="AC643" s="297">
        <v>200</v>
      </c>
      <c r="AD643" s="459">
        <f t="shared" si="134"/>
        <v>8864.7000000000007</v>
      </c>
      <c r="AE643" s="428">
        <f t="shared" si="134"/>
        <v>500</v>
      </c>
      <c r="AF643" s="438">
        <f t="shared" si="134"/>
        <v>0</v>
      </c>
      <c r="AG643" s="109"/>
      <c r="AH643" s="109"/>
    </row>
    <row r="644" spans="1:34" ht="31.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R644" s="3"/>
      <c r="S644" s="3"/>
      <c r="X644" s="294" t="s">
        <v>51</v>
      </c>
      <c r="Y644" s="295" t="s">
        <v>58</v>
      </c>
      <c r="Z644" s="296" t="s">
        <v>28</v>
      </c>
      <c r="AA644" s="296">
        <v>13</v>
      </c>
      <c r="AB644" s="348" t="s">
        <v>183</v>
      </c>
      <c r="AC644" s="297">
        <v>240</v>
      </c>
      <c r="AD644" s="459">
        <f>1714.9+14000-579.9-1206.6+224.1-287.8-5000</f>
        <v>8864.7000000000007</v>
      </c>
      <c r="AE644" s="428">
        <v>500</v>
      </c>
      <c r="AF644" s="438">
        <v>0</v>
      </c>
      <c r="AG644" s="109"/>
      <c r="AH644" s="109"/>
    </row>
    <row r="645" spans="1:34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R645" s="3"/>
      <c r="S645" s="3"/>
      <c r="X645" s="294" t="s">
        <v>41</v>
      </c>
      <c r="Y645" s="295" t="s">
        <v>58</v>
      </c>
      <c r="Z645" s="310" t="s">
        <v>28</v>
      </c>
      <c r="AA645" s="311">
        <v>13</v>
      </c>
      <c r="AB645" s="348" t="s">
        <v>183</v>
      </c>
      <c r="AC645" s="485">
        <v>800</v>
      </c>
      <c r="AD645" s="459">
        <f>AD646</f>
        <v>2612.1999999999998</v>
      </c>
      <c r="AE645" s="459">
        <f>AE646</f>
        <v>0</v>
      </c>
      <c r="AF645" s="459">
        <f>AF646</f>
        <v>0</v>
      </c>
      <c r="AG645" s="109"/>
      <c r="AH645" s="109"/>
    </row>
    <row r="646" spans="1:34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R646" s="3"/>
      <c r="S646" s="3"/>
      <c r="X646" s="294" t="s">
        <v>56</v>
      </c>
      <c r="Y646" s="295" t="s">
        <v>58</v>
      </c>
      <c r="Z646" s="310" t="s">
        <v>28</v>
      </c>
      <c r="AA646" s="311">
        <v>13</v>
      </c>
      <c r="AB646" s="348" t="s">
        <v>183</v>
      </c>
      <c r="AC646" s="485">
        <v>850</v>
      </c>
      <c r="AD646" s="459">
        <f>579.9+1206.6+825.7</f>
        <v>2612.1999999999998</v>
      </c>
      <c r="AE646" s="459">
        <v>0</v>
      </c>
      <c r="AF646" s="459">
        <v>0</v>
      </c>
      <c r="AG646" s="109"/>
      <c r="AH646" s="109"/>
    </row>
    <row r="647" spans="1:34" ht="47.2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R647" s="3"/>
      <c r="S647" s="3"/>
      <c r="X647" s="307" t="s">
        <v>704</v>
      </c>
      <c r="Y647" s="295" t="s">
        <v>58</v>
      </c>
      <c r="Z647" s="296" t="s">
        <v>28</v>
      </c>
      <c r="AA647" s="296">
        <v>13</v>
      </c>
      <c r="AB647" s="348" t="s">
        <v>185</v>
      </c>
      <c r="AC647" s="311"/>
      <c r="AD647" s="459">
        <f>AD648</f>
        <v>1314.4</v>
      </c>
      <c r="AE647" s="428">
        <f>AE648</f>
        <v>1314.4</v>
      </c>
      <c r="AF647" s="438">
        <f>AF648</f>
        <v>1314.4</v>
      </c>
      <c r="AG647" s="109"/>
      <c r="AH647" s="109"/>
    </row>
    <row r="648" spans="1:34" ht="47.2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R648" s="3"/>
      <c r="S648" s="3"/>
      <c r="X648" s="307" t="s">
        <v>600</v>
      </c>
      <c r="Y648" s="295" t="s">
        <v>58</v>
      </c>
      <c r="Z648" s="296" t="s">
        <v>28</v>
      </c>
      <c r="AA648" s="296">
        <v>13</v>
      </c>
      <c r="AB648" s="348" t="s">
        <v>599</v>
      </c>
      <c r="AC648" s="311"/>
      <c r="AD648" s="459">
        <f>AD649+AD651</f>
        <v>1314.4</v>
      </c>
      <c r="AE648" s="428">
        <f>AE649+AE651</f>
        <v>1314.4</v>
      </c>
      <c r="AF648" s="438">
        <f>AF649+AF651</f>
        <v>1314.4</v>
      </c>
      <c r="AG648" s="109"/>
      <c r="AH648" s="109"/>
    </row>
    <row r="649" spans="1:34" ht="47.2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R649" s="3"/>
      <c r="S649" s="3"/>
      <c r="X649" s="294" t="s">
        <v>40</v>
      </c>
      <c r="Y649" s="295" t="s">
        <v>58</v>
      </c>
      <c r="Z649" s="296" t="s">
        <v>28</v>
      </c>
      <c r="AA649" s="296">
        <v>13</v>
      </c>
      <c r="AB649" s="348" t="s">
        <v>599</v>
      </c>
      <c r="AC649" s="311">
        <v>100</v>
      </c>
      <c r="AD649" s="459">
        <f>AD650</f>
        <v>1232</v>
      </c>
      <c r="AE649" s="428">
        <f>AE650</f>
        <v>1298.7</v>
      </c>
      <c r="AF649" s="438">
        <f>AF650</f>
        <v>1298.7</v>
      </c>
      <c r="AG649" s="109"/>
      <c r="AH649" s="109"/>
    </row>
    <row r="650" spans="1:34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R650" s="3"/>
      <c r="S650" s="3"/>
      <c r="X650" s="446" t="s">
        <v>94</v>
      </c>
      <c r="Y650" s="308" t="s">
        <v>58</v>
      </c>
      <c r="Z650" s="296" t="s">
        <v>28</v>
      </c>
      <c r="AA650" s="296">
        <v>13</v>
      </c>
      <c r="AB650" s="348" t="s">
        <v>599</v>
      </c>
      <c r="AC650" s="311">
        <v>120</v>
      </c>
      <c r="AD650" s="459">
        <f>1298.7-66.7</f>
        <v>1232</v>
      </c>
      <c r="AE650" s="428">
        <v>1298.7</v>
      </c>
      <c r="AF650" s="438">
        <v>1298.7</v>
      </c>
      <c r="AG650" s="109"/>
      <c r="AH650" s="109"/>
    </row>
    <row r="651" spans="1:34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R651" s="3"/>
      <c r="S651" s="3"/>
      <c r="X651" s="446" t="s">
        <v>118</v>
      </c>
      <c r="Y651" s="308" t="s">
        <v>58</v>
      </c>
      <c r="Z651" s="296" t="s">
        <v>28</v>
      </c>
      <c r="AA651" s="296">
        <v>13</v>
      </c>
      <c r="AB651" s="348" t="s">
        <v>599</v>
      </c>
      <c r="AC651" s="311">
        <v>200</v>
      </c>
      <c r="AD651" s="459">
        <f>AD652</f>
        <v>82.4</v>
      </c>
      <c r="AE651" s="428">
        <f>AE652</f>
        <v>15.7</v>
      </c>
      <c r="AF651" s="438">
        <f>AF652</f>
        <v>15.7</v>
      </c>
      <c r="AG651" s="109"/>
      <c r="AH651" s="109"/>
    </row>
    <row r="652" spans="1:34" ht="31.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R652" s="3"/>
      <c r="S652" s="3"/>
      <c r="X652" s="446" t="s">
        <v>51</v>
      </c>
      <c r="Y652" s="308" t="s">
        <v>58</v>
      </c>
      <c r="Z652" s="296" t="s">
        <v>28</v>
      </c>
      <c r="AA652" s="296">
        <v>13</v>
      </c>
      <c r="AB652" s="348" t="s">
        <v>599</v>
      </c>
      <c r="AC652" s="311">
        <v>240</v>
      </c>
      <c r="AD652" s="459">
        <f>15.7+66.7</f>
        <v>82.4</v>
      </c>
      <c r="AE652" s="428">
        <v>15.7</v>
      </c>
      <c r="AF652" s="438">
        <v>15.7</v>
      </c>
      <c r="AG652" s="109"/>
      <c r="AH652" s="109"/>
    </row>
    <row r="653" spans="1:34" ht="31.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R653" s="3"/>
      <c r="S653" s="3"/>
      <c r="X653" s="299" t="s">
        <v>323</v>
      </c>
      <c r="Y653" s="295" t="s">
        <v>58</v>
      </c>
      <c r="Z653" s="296" t="s">
        <v>28</v>
      </c>
      <c r="AA653" s="296">
        <v>13</v>
      </c>
      <c r="AB653" s="348" t="s">
        <v>454</v>
      </c>
      <c r="AC653" s="297"/>
      <c r="AD653" s="459">
        <f>AD654</f>
        <v>28388.800000000003</v>
      </c>
      <c r="AE653" s="428">
        <f>AE654</f>
        <v>25517.599999999999</v>
      </c>
      <c r="AF653" s="438">
        <f>AF654</f>
        <v>25517.599999999999</v>
      </c>
      <c r="AG653" s="109"/>
      <c r="AH653" s="109"/>
    </row>
    <row r="654" spans="1:34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R654" s="3"/>
      <c r="S654" s="3"/>
      <c r="X654" s="299" t="s">
        <v>326</v>
      </c>
      <c r="Y654" s="295" t="s">
        <v>58</v>
      </c>
      <c r="Z654" s="296" t="s">
        <v>28</v>
      </c>
      <c r="AA654" s="296">
        <v>13</v>
      </c>
      <c r="AB654" s="348" t="s">
        <v>455</v>
      </c>
      <c r="AC654" s="297"/>
      <c r="AD654" s="459">
        <f>AD655+AD658+AD661</f>
        <v>28388.800000000003</v>
      </c>
      <c r="AE654" s="428">
        <f>AE655+AE658+AE661</f>
        <v>25517.599999999999</v>
      </c>
      <c r="AF654" s="438">
        <f>AF655+AF658+AF661</f>
        <v>25517.599999999999</v>
      </c>
      <c r="AG654" s="109"/>
      <c r="AH654" s="109"/>
    </row>
    <row r="655" spans="1:34" ht="31.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R655" s="3"/>
      <c r="S655" s="3"/>
      <c r="X655" s="299" t="s">
        <v>204</v>
      </c>
      <c r="Y655" s="295" t="s">
        <v>58</v>
      </c>
      <c r="Z655" s="296" t="s">
        <v>28</v>
      </c>
      <c r="AA655" s="296">
        <v>13</v>
      </c>
      <c r="AB655" s="348" t="s">
        <v>456</v>
      </c>
      <c r="AC655" s="297"/>
      <c r="AD655" s="459">
        <f t="shared" ref="AD655:AF656" si="135">AD656</f>
        <v>3600.2000000000003</v>
      </c>
      <c r="AE655" s="428">
        <f t="shared" si="135"/>
        <v>1785.8</v>
      </c>
      <c r="AF655" s="438">
        <f t="shared" si="135"/>
        <v>1785.8</v>
      </c>
      <c r="AG655" s="109"/>
      <c r="AH655" s="109"/>
    </row>
    <row r="656" spans="1:34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R656" s="3"/>
      <c r="S656" s="3"/>
      <c r="X656" s="294" t="s">
        <v>118</v>
      </c>
      <c r="Y656" s="295" t="s">
        <v>58</v>
      </c>
      <c r="Z656" s="296" t="s">
        <v>28</v>
      </c>
      <c r="AA656" s="296">
        <v>13</v>
      </c>
      <c r="AB656" s="348" t="s">
        <v>456</v>
      </c>
      <c r="AC656" s="297">
        <v>200</v>
      </c>
      <c r="AD656" s="459">
        <f t="shared" si="135"/>
        <v>3600.2000000000003</v>
      </c>
      <c r="AE656" s="428">
        <f t="shared" si="135"/>
        <v>1785.8</v>
      </c>
      <c r="AF656" s="438">
        <f t="shared" si="135"/>
        <v>1785.8</v>
      </c>
      <c r="AG656" s="109"/>
      <c r="AH656" s="109"/>
    </row>
    <row r="657" spans="1:34" ht="31.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R657" s="3"/>
      <c r="S657" s="3"/>
      <c r="X657" s="294" t="s">
        <v>51</v>
      </c>
      <c r="Y657" s="295" t="s">
        <v>58</v>
      </c>
      <c r="Z657" s="296" t="s">
        <v>28</v>
      </c>
      <c r="AA657" s="296">
        <v>13</v>
      </c>
      <c r="AB657" s="348" t="s">
        <v>456</v>
      </c>
      <c r="AC657" s="297">
        <v>240</v>
      </c>
      <c r="AD657" s="459">
        <f>1785.8-31.3+31.3+1815-0.6</f>
        <v>3600.2000000000003</v>
      </c>
      <c r="AE657" s="428">
        <v>1785.8</v>
      </c>
      <c r="AF657" s="438">
        <v>1785.8</v>
      </c>
      <c r="AG657" s="109"/>
      <c r="AH657" s="109"/>
    </row>
    <row r="658" spans="1:34" ht="31.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R658" s="3"/>
      <c r="S658" s="3"/>
      <c r="X658" s="294" t="s">
        <v>205</v>
      </c>
      <c r="Y658" s="295" t="s">
        <v>58</v>
      </c>
      <c r="Z658" s="296" t="s">
        <v>28</v>
      </c>
      <c r="AA658" s="296">
        <v>13</v>
      </c>
      <c r="AB658" s="347" t="str">
        <f>AB659</f>
        <v>12 1 04 00132</v>
      </c>
      <c r="AC658" s="297"/>
      <c r="AD658" s="459">
        <f>AD660</f>
        <v>8272.9</v>
      </c>
      <c r="AE658" s="428">
        <f>AE660</f>
        <v>8211.2999999999993</v>
      </c>
      <c r="AF658" s="438">
        <f>AF660</f>
        <v>8211.2999999999993</v>
      </c>
      <c r="AG658" s="109"/>
      <c r="AH658" s="109"/>
    </row>
    <row r="659" spans="1:34" ht="47.2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R659" s="3"/>
      <c r="S659" s="3"/>
      <c r="X659" s="294" t="s">
        <v>40</v>
      </c>
      <c r="Y659" s="295" t="s">
        <v>58</v>
      </c>
      <c r="Z659" s="296" t="s">
        <v>28</v>
      </c>
      <c r="AA659" s="296">
        <v>13</v>
      </c>
      <c r="AB659" s="347" t="str">
        <f>AB660</f>
        <v>12 1 04 00132</v>
      </c>
      <c r="AC659" s="297">
        <v>100</v>
      </c>
      <c r="AD659" s="459">
        <f>AD660</f>
        <v>8272.9</v>
      </c>
      <c r="AE659" s="428">
        <f>AE660</f>
        <v>8211.2999999999993</v>
      </c>
      <c r="AF659" s="438">
        <f>AF660</f>
        <v>8211.2999999999993</v>
      </c>
      <c r="AG659" s="109"/>
      <c r="AH659" s="109"/>
    </row>
    <row r="660" spans="1:34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R660" s="3"/>
      <c r="S660" s="3"/>
      <c r="X660" s="294" t="s">
        <v>94</v>
      </c>
      <c r="Y660" s="295" t="s">
        <v>58</v>
      </c>
      <c r="Z660" s="296" t="s">
        <v>28</v>
      </c>
      <c r="AA660" s="296">
        <v>13</v>
      </c>
      <c r="AB660" s="348" t="s">
        <v>457</v>
      </c>
      <c r="AC660" s="297">
        <v>120</v>
      </c>
      <c r="AD660" s="459">
        <f>8211.3+23.1+38.5</f>
        <v>8272.9</v>
      </c>
      <c r="AE660" s="428">
        <v>8211.2999999999993</v>
      </c>
      <c r="AF660" s="438">
        <v>8211.2999999999993</v>
      </c>
      <c r="AG660" s="109"/>
      <c r="AH660" s="109"/>
    </row>
    <row r="661" spans="1:34" ht="31.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R661" s="3"/>
      <c r="S661" s="3"/>
      <c r="X661" s="294" t="s">
        <v>206</v>
      </c>
      <c r="Y661" s="295" t="s">
        <v>58</v>
      </c>
      <c r="Z661" s="296" t="s">
        <v>28</v>
      </c>
      <c r="AA661" s="296">
        <v>13</v>
      </c>
      <c r="AB661" s="347" t="str">
        <f>AB662</f>
        <v>12 1 04 00133</v>
      </c>
      <c r="AC661" s="297"/>
      <c r="AD661" s="459">
        <f>AD663</f>
        <v>16515.7</v>
      </c>
      <c r="AE661" s="428">
        <f>AE663</f>
        <v>15520.5</v>
      </c>
      <c r="AF661" s="438">
        <f>AF663</f>
        <v>15520.5</v>
      </c>
      <c r="AG661" s="109"/>
      <c r="AH661" s="109"/>
    </row>
    <row r="662" spans="1:34" ht="47.2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R662" s="3"/>
      <c r="S662" s="3"/>
      <c r="X662" s="294" t="s">
        <v>40</v>
      </c>
      <c r="Y662" s="295" t="s">
        <v>58</v>
      </c>
      <c r="Z662" s="296" t="s">
        <v>28</v>
      </c>
      <c r="AA662" s="296">
        <v>13</v>
      </c>
      <c r="AB662" s="347" t="str">
        <f>AB663</f>
        <v>12 1 04 00133</v>
      </c>
      <c r="AC662" s="297">
        <v>100</v>
      </c>
      <c r="AD662" s="459">
        <f>AD663</f>
        <v>16515.7</v>
      </c>
      <c r="AE662" s="428">
        <f>AE663</f>
        <v>15520.5</v>
      </c>
      <c r="AF662" s="438">
        <f>AF663</f>
        <v>15520.5</v>
      </c>
      <c r="AG662" s="109"/>
      <c r="AH662" s="109"/>
    </row>
    <row r="663" spans="1:34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R663" s="3"/>
      <c r="S663" s="3"/>
      <c r="X663" s="294" t="s">
        <v>94</v>
      </c>
      <c r="Y663" s="295" t="s">
        <v>58</v>
      </c>
      <c r="Z663" s="296" t="s">
        <v>28</v>
      </c>
      <c r="AA663" s="296">
        <v>13</v>
      </c>
      <c r="AB663" s="348" t="s">
        <v>458</v>
      </c>
      <c r="AC663" s="297">
        <v>120</v>
      </c>
      <c r="AD663" s="459">
        <f>15520.5+158.6+836.6</f>
        <v>16515.7</v>
      </c>
      <c r="AE663" s="428">
        <v>15520.5</v>
      </c>
      <c r="AF663" s="438">
        <v>15520.5</v>
      </c>
      <c r="AG663" s="109"/>
      <c r="AH663" s="109"/>
    </row>
    <row r="664" spans="1:34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R664" s="3"/>
      <c r="S664" s="3"/>
      <c r="X664" s="198" t="s">
        <v>328</v>
      </c>
      <c r="Y664" s="295" t="s">
        <v>58</v>
      </c>
      <c r="Z664" s="296" t="s">
        <v>28</v>
      </c>
      <c r="AA664" s="296">
        <v>13</v>
      </c>
      <c r="AB664" s="21" t="s">
        <v>135</v>
      </c>
      <c r="AC664" s="297"/>
      <c r="AD664" s="459">
        <f>AD665</f>
        <v>319.10000000000002</v>
      </c>
      <c r="AE664" s="459">
        <f t="shared" ref="AE664:AF666" si="136">AE665</f>
        <v>0</v>
      </c>
      <c r="AF664" s="459">
        <f t="shared" si="136"/>
        <v>0</v>
      </c>
      <c r="AG664" s="109"/>
      <c r="AH664" s="109"/>
    </row>
    <row r="665" spans="1:34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R665" s="3"/>
      <c r="S665" s="3"/>
      <c r="X665" s="294" t="s">
        <v>778</v>
      </c>
      <c r="Y665" s="295" t="s">
        <v>58</v>
      </c>
      <c r="Z665" s="296" t="s">
        <v>28</v>
      </c>
      <c r="AA665" s="296">
        <v>13</v>
      </c>
      <c r="AB665" s="348" t="s">
        <v>779</v>
      </c>
      <c r="AC665" s="297"/>
      <c r="AD665" s="459">
        <f>AD666</f>
        <v>319.10000000000002</v>
      </c>
      <c r="AE665" s="459">
        <f t="shared" si="136"/>
        <v>0</v>
      </c>
      <c r="AF665" s="459">
        <f t="shared" si="136"/>
        <v>0</v>
      </c>
      <c r="AG665" s="109"/>
      <c r="AH665" s="109"/>
    </row>
    <row r="666" spans="1:34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R666" s="3"/>
      <c r="S666" s="3"/>
      <c r="X666" s="294" t="s">
        <v>41</v>
      </c>
      <c r="Y666" s="295" t="s">
        <v>58</v>
      </c>
      <c r="Z666" s="296" t="s">
        <v>28</v>
      </c>
      <c r="AA666" s="296">
        <v>13</v>
      </c>
      <c r="AB666" s="348" t="s">
        <v>779</v>
      </c>
      <c r="AC666" s="297">
        <v>800</v>
      </c>
      <c r="AD666" s="459">
        <f>AD667</f>
        <v>319.10000000000002</v>
      </c>
      <c r="AE666" s="459">
        <f t="shared" si="136"/>
        <v>0</v>
      </c>
      <c r="AF666" s="459">
        <f t="shared" si="136"/>
        <v>0</v>
      </c>
      <c r="AG666" s="109"/>
      <c r="AH666" s="109"/>
    </row>
    <row r="667" spans="1:34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R667" s="3"/>
      <c r="S667" s="3"/>
      <c r="X667" s="294" t="s">
        <v>780</v>
      </c>
      <c r="Y667" s="295" t="s">
        <v>58</v>
      </c>
      <c r="Z667" s="296" t="s">
        <v>28</v>
      </c>
      <c r="AA667" s="296">
        <v>13</v>
      </c>
      <c r="AB667" s="348" t="s">
        <v>779</v>
      </c>
      <c r="AC667" s="297">
        <v>830</v>
      </c>
      <c r="AD667" s="459">
        <f>31.3+287.8</f>
        <v>319.10000000000002</v>
      </c>
      <c r="AE667" s="428">
        <v>0</v>
      </c>
      <c r="AF667" s="438">
        <v>0</v>
      </c>
      <c r="AG667" s="109"/>
      <c r="AH667" s="109"/>
    </row>
    <row r="668" spans="1:34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R668" s="3"/>
      <c r="S668" s="3"/>
      <c r="X668" s="445" t="s">
        <v>2</v>
      </c>
      <c r="Y668" s="295" t="s">
        <v>58</v>
      </c>
      <c r="Z668" s="315" t="s">
        <v>4</v>
      </c>
      <c r="AA668" s="296"/>
      <c r="AB668" s="348"/>
      <c r="AC668" s="297"/>
      <c r="AD668" s="459">
        <f t="shared" ref="AD668:AD674" si="137">AD669</f>
        <v>106400</v>
      </c>
      <c r="AE668" s="459">
        <f t="shared" ref="AE668:AF674" si="138">AE669</f>
        <v>0</v>
      </c>
      <c r="AF668" s="459">
        <f t="shared" si="138"/>
        <v>0</v>
      </c>
      <c r="AG668" s="109"/>
      <c r="AH668" s="109"/>
    </row>
    <row r="669" spans="1:34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R669" s="3"/>
      <c r="S669" s="3"/>
      <c r="X669" s="294" t="s">
        <v>321</v>
      </c>
      <c r="Y669" s="295" t="s">
        <v>58</v>
      </c>
      <c r="Z669" s="296" t="s">
        <v>4</v>
      </c>
      <c r="AA669" s="296" t="s">
        <v>29</v>
      </c>
      <c r="AB669" s="348"/>
      <c r="AC669" s="297"/>
      <c r="AD669" s="459">
        <f t="shared" si="137"/>
        <v>106400</v>
      </c>
      <c r="AE669" s="459">
        <f t="shared" si="138"/>
        <v>0</v>
      </c>
      <c r="AF669" s="459">
        <f t="shared" si="138"/>
        <v>0</v>
      </c>
      <c r="AG669" s="109"/>
      <c r="AH669" s="109"/>
    </row>
    <row r="670" spans="1:34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R670" s="3"/>
      <c r="S670" s="3"/>
      <c r="X670" s="299" t="s">
        <v>184</v>
      </c>
      <c r="Y670" s="295" t="s">
        <v>58</v>
      </c>
      <c r="Z670" s="296" t="s">
        <v>4</v>
      </c>
      <c r="AA670" s="296" t="s">
        <v>29</v>
      </c>
      <c r="AB670" s="348" t="s">
        <v>110</v>
      </c>
      <c r="AC670" s="297"/>
      <c r="AD670" s="459">
        <f t="shared" si="137"/>
        <v>106400</v>
      </c>
      <c r="AE670" s="459">
        <f t="shared" si="138"/>
        <v>0</v>
      </c>
      <c r="AF670" s="459">
        <f t="shared" si="138"/>
        <v>0</v>
      </c>
      <c r="AG670" s="109"/>
      <c r="AH670" s="109"/>
    </row>
    <row r="671" spans="1:34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R671" s="3"/>
      <c r="S671" s="3"/>
      <c r="X671" s="294" t="s">
        <v>47</v>
      </c>
      <c r="Y671" s="295" t="s">
        <v>58</v>
      </c>
      <c r="Z671" s="296" t="s">
        <v>4</v>
      </c>
      <c r="AA671" s="296" t="s">
        <v>29</v>
      </c>
      <c r="AB671" s="348" t="s">
        <v>188</v>
      </c>
      <c r="AC671" s="297"/>
      <c r="AD671" s="459">
        <f t="shared" si="137"/>
        <v>106400</v>
      </c>
      <c r="AE671" s="459">
        <f t="shared" si="138"/>
        <v>0</v>
      </c>
      <c r="AF671" s="459">
        <f t="shared" si="138"/>
        <v>0</v>
      </c>
      <c r="AG671" s="109"/>
      <c r="AH671" s="109"/>
    </row>
    <row r="672" spans="1:34" ht="31.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R672" s="3"/>
      <c r="S672" s="3"/>
      <c r="X672" s="294" t="s">
        <v>323</v>
      </c>
      <c r="Y672" s="295" t="s">
        <v>58</v>
      </c>
      <c r="Z672" s="296" t="s">
        <v>4</v>
      </c>
      <c r="AA672" s="296" t="s">
        <v>29</v>
      </c>
      <c r="AB672" s="348" t="s">
        <v>190</v>
      </c>
      <c r="AC672" s="297"/>
      <c r="AD672" s="459">
        <f t="shared" si="137"/>
        <v>106400</v>
      </c>
      <c r="AE672" s="459">
        <f t="shared" si="138"/>
        <v>0</v>
      </c>
      <c r="AF672" s="459">
        <f t="shared" si="138"/>
        <v>0</v>
      </c>
      <c r="AG672" s="109"/>
      <c r="AH672" s="109"/>
    </row>
    <row r="673" spans="1:34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R673" s="3"/>
      <c r="S673" s="3"/>
      <c r="X673" s="294" t="s">
        <v>802</v>
      </c>
      <c r="Y673" s="295" t="s">
        <v>58</v>
      </c>
      <c r="Z673" s="296" t="s">
        <v>4</v>
      </c>
      <c r="AA673" s="296" t="s">
        <v>29</v>
      </c>
      <c r="AB673" s="348" t="s">
        <v>803</v>
      </c>
      <c r="AC673" s="297"/>
      <c r="AD673" s="459">
        <f t="shared" si="137"/>
        <v>106400</v>
      </c>
      <c r="AE673" s="459">
        <f t="shared" si="138"/>
        <v>0</v>
      </c>
      <c r="AF673" s="459">
        <f t="shared" si="138"/>
        <v>0</v>
      </c>
      <c r="AG673" s="109"/>
      <c r="AH673" s="109"/>
    </row>
    <row r="674" spans="1:34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R674" s="3"/>
      <c r="S674" s="3"/>
      <c r="X674" s="294" t="s">
        <v>41</v>
      </c>
      <c r="Y674" s="295" t="s">
        <v>58</v>
      </c>
      <c r="Z674" s="296" t="s">
        <v>4</v>
      </c>
      <c r="AA674" s="296" t="s">
        <v>29</v>
      </c>
      <c r="AB674" s="348" t="s">
        <v>803</v>
      </c>
      <c r="AC674" s="297">
        <v>800</v>
      </c>
      <c r="AD674" s="459">
        <f t="shared" si="137"/>
        <v>106400</v>
      </c>
      <c r="AE674" s="459">
        <f t="shared" si="138"/>
        <v>0</v>
      </c>
      <c r="AF674" s="459">
        <f t="shared" si="138"/>
        <v>0</v>
      </c>
      <c r="AG674" s="109"/>
      <c r="AH674" s="109"/>
    </row>
    <row r="675" spans="1:34" ht="37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R675" s="3"/>
      <c r="S675" s="3"/>
      <c r="X675" s="294" t="s">
        <v>119</v>
      </c>
      <c r="Y675" s="295" t="s">
        <v>58</v>
      </c>
      <c r="Z675" s="296" t="s">
        <v>4</v>
      </c>
      <c r="AA675" s="296" t="s">
        <v>29</v>
      </c>
      <c r="AB675" s="348" t="s">
        <v>803</v>
      </c>
      <c r="AC675" s="297">
        <v>810</v>
      </c>
      <c r="AD675" s="459">
        <f>30000+68000+8400</f>
        <v>106400</v>
      </c>
      <c r="AE675" s="428">
        <v>0</v>
      </c>
      <c r="AF675" s="438">
        <v>0</v>
      </c>
      <c r="AG675" s="109"/>
      <c r="AH675" s="109"/>
    </row>
    <row r="676" spans="1:34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R676" s="3"/>
      <c r="S676" s="3"/>
      <c r="X676" s="445" t="s">
        <v>92</v>
      </c>
      <c r="Y676" s="291" t="s">
        <v>58</v>
      </c>
      <c r="Z676" s="312" t="s">
        <v>35</v>
      </c>
      <c r="AA676" s="346"/>
      <c r="AB676" s="345"/>
      <c r="AC676" s="317"/>
      <c r="AD676" s="458">
        <f>AD677+AD684</f>
        <v>15521.5</v>
      </c>
      <c r="AE676" s="427">
        <f>AE677+AE684</f>
        <v>839.9</v>
      </c>
      <c r="AF676" s="437">
        <f>AF677+AF684</f>
        <v>839.9</v>
      </c>
      <c r="AG676" s="109"/>
      <c r="AH676" s="109"/>
    </row>
    <row r="677" spans="1:34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R677" s="3"/>
      <c r="S677" s="3"/>
      <c r="X677" s="294" t="s">
        <v>54</v>
      </c>
      <c r="Y677" s="295" t="s">
        <v>58</v>
      </c>
      <c r="Z677" s="296">
        <v>10</v>
      </c>
      <c r="AA677" s="296" t="s">
        <v>28</v>
      </c>
      <c r="AB677" s="347"/>
      <c r="AC677" s="293"/>
      <c r="AD677" s="459">
        <f t="shared" ref="AD677:AF682" si="139">AD678</f>
        <v>840.5</v>
      </c>
      <c r="AE677" s="428">
        <f t="shared" si="139"/>
        <v>839.9</v>
      </c>
      <c r="AF677" s="438">
        <f t="shared" si="139"/>
        <v>839.9</v>
      </c>
      <c r="AG677" s="109"/>
      <c r="AH677" s="109"/>
    </row>
    <row r="678" spans="1:34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R678" s="3"/>
      <c r="S678" s="3"/>
      <c r="X678" s="299" t="s">
        <v>290</v>
      </c>
      <c r="Y678" s="295" t="s">
        <v>58</v>
      </c>
      <c r="Z678" s="296">
        <v>10</v>
      </c>
      <c r="AA678" s="296" t="s">
        <v>28</v>
      </c>
      <c r="AB678" s="348" t="s">
        <v>107</v>
      </c>
      <c r="AC678" s="293"/>
      <c r="AD678" s="459">
        <f t="shared" si="139"/>
        <v>840.5</v>
      </c>
      <c r="AE678" s="428">
        <f t="shared" si="139"/>
        <v>839.9</v>
      </c>
      <c r="AF678" s="438">
        <f t="shared" si="139"/>
        <v>839.9</v>
      </c>
      <c r="AG678" s="109"/>
      <c r="AH678" s="109"/>
    </row>
    <row r="679" spans="1:34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R679" s="3"/>
      <c r="S679" s="3"/>
      <c r="X679" s="299" t="s">
        <v>291</v>
      </c>
      <c r="Y679" s="295" t="s">
        <v>58</v>
      </c>
      <c r="Z679" s="296">
        <v>10</v>
      </c>
      <c r="AA679" s="296" t="s">
        <v>28</v>
      </c>
      <c r="AB679" s="348" t="s">
        <v>116</v>
      </c>
      <c r="AC679" s="293"/>
      <c r="AD679" s="459">
        <f t="shared" si="139"/>
        <v>840.5</v>
      </c>
      <c r="AE679" s="428">
        <f t="shared" si="139"/>
        <v>839.9</v>
      </c>
      <c r="AF679" s="438">
        <f t="shared" si="139"/>
        <v>839.9</v>
      </c>
      <c r="AG679" s="109"/>
      <c r="AH679" s="109"/>
    </row>
    <row r="680" spans="1:34" ht="31.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R680" s="3"/>
      <c r="S680" s="3"/>
      <c r="X680" s="299" t="s">
        <v>461</v>
      </c>
      <c r="Y680" s="295" t="s">
        <v>58</v>
      </c>
      <c r="Z680" s="296">
        <v>10</v>
      </c>
      <c r="AA680" s="296" t="s">
        <v>28</v>
      </c>
      <c r="AB680" s="348" t="s">
        <v>460</v>
      </c>
      <c r="AC680" s="293"/>
      <c r="AD680" s="459">
        <f t="shared" si="139"/>
        <v>840.5</v>
      </c>
      <c r="AE680" s="428">
        <f t="shared" si="139"/>
        <v>839.9</v>
      </c>
      <c r="AF680" s="438">
        <f t="shared" si="139"/>
        <v>839.9</v>
      </c>
      <c r="AG680" s="109"/>
      <c r="AH680" s="109"/>
    </row>
    <row r="681" spans="1:34" ht="31.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R681" s="3"/>
      <c r="S681" s="3"/>
      <c r="X681" s="307" t="s">
        <v>293</v>
      </c>
      <c r="Y681" s="295" t="s">
        <v>58</v>
      </c>
      <c r="Z681" s="296">
        <v>10</v>
      </c>
      <c r="AA681" s="296" t="s">
        <v>28</v>
      </c>
      <c r="AB681" s="348" t="s">
        <v>459</v>
      </c>
      <c r="AC681" s="293"/>
      <c r="AD681" s="459">
        <f t="shared" si="139"/>
        <v>840.5</v>
      </c>
      <c r="AE681" s="428">
        <f t="shared" si="139"/>
        <v>839.9</v>
      </c>
      <c r="AF681" s="438">
        <f t="shared" si="139"/>
        <v>839.9</v>
      </c>
      <c r="AG681" s="109"/>
      <c r="AH681" s="109"/>
    </row>
    <row r="682" spans="1:34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R682" s="3"/>
      <c r="S682" s="3"/>
      <c r="X682" s="294" t="s">
        <v>95</v>
      </c>
      <c r="Y682" s="295" t="s">
        <v>58</v>
      </c>
      <c r="Z682" s="296">
        <v>10</v>
      </c>
      <c r="AA682" s="296" t="s">
        <v>28</v>
      </c>
      <c r="AB682" s="348" t="s">
        <v>459</v>
      </c>
      <c r="AC682" s="297">
        <v>300</v>
      </c>
      <c r="AD682" s="459">
        <f t="shared" si="139"/>
        <v>840.5</v>
      </c>
      <c r="AE682" s="428">
        <f t="shared" si="139"/>
        <v>839.9</v>
      </c>
      <c r="AF682" s="438">
        <f t="shared" si="139"/>
        <v>839.9</v>
      </c>
      <c r="AG682" s="109"/>
      <c r="AH682" s="109"/>
    </row>
    <row r="683" spans="1:34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R683" s="3"/>
      <c r="S683" s="3"/>
      <c r="X683" s="294" t="s">
        <v>39</v>
      </c>
      <c r="Y683" s="295" t="s">
        <v>58</v>
      </c>
      <c r="Z683" s="296">
        <v>10</v>
      </c>
      <c r="AA683" s="296" t="s">
        <v>28</v>
      </c>
      <c r="AB683" s="348" t="s">
        <v>459</v>
      </c>
      <c r="AC683" s="297">
        <v>320</v>
      </c>
      <c r="AD683" s="459">
        <f>839.9+0.6</f>
        <v>840.5</v>
      </c>
      <c r="AE683" s="428">
        <v>839.9</v>
      </c>
      <c r="AF683" s="438">
        <v>839.9</v>
      </c>
      <c r="AG683" s="109"/>
      <c r="AH683" s="109"/>
    </row>
    <row r="684" spans="1:34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R684" s="3"/>
      <c r="S684" s="3"/>
      <c r="X684" s="294" t="s">
        <v>30</v>
      </c>
      <c r="Y684" s="295" t="s">
        <v>58</v>
      </c>
      <c r="Z684" s="296">
        <v>10</v>
      </c>
      <c r="AA684" s="296" t="s">
        <v>48</v>
      </c>
      <c r="AB684" s="347"/>
      <c r="AC684" s="297"/>
      <c r="AD684" s="459">
        <f t="shared" ref="AD684:AF687" si="140">AD685</f>
        <v>14681</v>
      </c>
      <c r="AE684" s="428">
        <f t="shared" si="140"/>
        <v>0</v>
      </c>
      <c r="AF684" s="438">
        <f t="shared" si="140"/>
        <v>0</v>
      </c>
      <c r="AG684" s="109"/>
      <c r="AH684" s="109"/>
    </row>
    <row r="685" spans="1:34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R685" s="3"/>
      <c r="S685" s="3"/>
      <c r="X685" s="299" t="s">
        <v>179</v>
      </c>
      <c r="Y685" s="295" t="s">
        <v>58</v>
      </c>
      <c r="Z685" s="296">
        <v>10</v>
      </c>
      <c r="AA685" s="296" t="s">
        <v>48</v>
      </c>
      <c r="AB685" s="347" t="s">
        <v>114</v>
      </c>
      <c r="AC685" s="297"/>
      <c r="AD685" s="459">
        <f t="shared" si="140"/>
        <v>14681</v>
      </c>
      <c r="AE685" s="428">
        <f t="shared" si="140"/>
        <v>0</v>
      </c>
      <c r="AF685" s="438">
        <f t="shared" si="140"/>
        <v>0</v>
      </c>
      <c r="AG685" s="109"/>
      <c r="AH685" s="109"/>
    </row>
    <row r="686" spans="1:34" ht="31.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R686" s="3"/>
      <c r="S686" s="3"/>
      <c r="X686" s="447" t="s">
        <v>434</v>
      </c>
      <c r="Y686" s="295" t="s">
        <v>58</v>
      </c>
      <c r="Z686" s="296">
        <v>10</v>
      </c>
      <c r="AA686" s="296" t="s">
        <v>48</v>
      </c>
      <c r="AB686" s="348" t="s">
        <v>144</v>
      </c>
      <c r="AC686" s="297"/>
      <c r="AD686" s="459">
        <f t="shared" si="140"/>
        <v>14681</v>
      </c>
      <c r="AE686" s="428">
        <f t="shared" si="140"/>
        <v>0</v>
      </c>
      <c r="AF686" s="438">
        <f t="shared" si="140"/>
        <v>0</v>
      </c>
      <c r="AG686" s="109"/>
      <c r="AH686" s="109"/>
    </row>
    <row r="687" spans="1:34" ht="47.2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R687" s="3"/>
      <c r="S687" s="3"/>
      <c r="X687" s="447" t="s">
        <v>435</v>
      </c>
      <c r="Y687" s="295" t="s">
        <v>58</v>
      </c>
      <c r="Z687" s="296">
        <v>10</v>
      </c>
      <c r="AA687" s="296" t="s">
        <v>48</v>
      </c>
      <c r="AB687" s="348" t="s">
        <v>143</v>
      </c>
      <c r="AC687" s="297"/>
      <c r="AD687" s="459">
        <f>AD688</f>
        <v>14681</v>
      </c>
      <c r="AE687" s="428">
        <f t="shared" si="140"/>
        <v>0</v>
      </c>
      <c r="AF687" s="438">
        <f t="shared" si="140"/>
        <v>0</v>
      </c>
      <c r="AG687" s="109"/>
      <c r="AH687" s="109"/>
    </row>
    <row r="688" spans="1:34" ht="31.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R688" s="3"/>
      <c r="S688" s="3"/>
      <c r="X688" s="451" t="s">
        <v>606</v>
      </c>
      <c r="Y688" s="295" t="s">
        <v>58</v>
      </c>
      <c r="Z688" s="296">
        <v>10</v>
      </c>
      <c r="AA688" s="296" t="s">
        <v>48</v>
      </c>
      <c r="AB688" s="348" t="s">
        <v>142</v>
      </c>
      <c r="AC688" s="297"/>
      <c r="AD688" s="459">
        <f t="shared" ref="AD688:AF689" si="141">AD689</f>
        <v>14681</v>
      </c>
      <c r="AE688" s="428">
        <f t="shared" si="141"/>
        <v>0</v>
      </c>
      <c r="AF688" s="438">
        <f t="shared" si="141"/>
        <v>0</v>
      </c>
      <c r="AG688" s="109"/>
      <c r="AH688" s="109"/>
    </row>
    <row r="689" spans="1:3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R689" s="3"/>
      <c r="S689" s="3"/>
      <c r="X689" s="294" t="s">
        <v>22</v>
      </c>
      <c r="Y689" s="295" t="s">
        <v>58</v>
      </c>
      <c r="Z689" s="296">
        <v>10</v>
      </c>
      <c r="AA689" s="296" t="s">
        <v>48</v>
      </c>
      <c r="AB689" s="354" t="s">
        <v>142</v>
      </c>
      <c r="AC689" s="297">
        <v>400</v>
      </c>
      <c r="AD689" s="459">
        <f t="shared" si="141"/>
        <v>14681</v>
      </c>
      <c r="AE689" s="428">
        <f t="shared" si="141"/>
        <v>0</v>
      </c>
      <c r="AF689" s="438">
        <f t="shared" si="141"/>
        <v>0</v>
      </c>
      <c r="AG689" s="109"/>
      <c r="AH689" s="109"/>
    </row>
    <row r="690" spans="1:3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R690" s="3"/>
      <c r="S690" s="3"/>
      <c r="X690" s="294" t="s">
        <v>8</v>
      </c>
      <c r="Y690" s="295" t="s">
        <v>58</v>
      </c>
      <c r="Z690" s="296">
        <v>10</v>
      </c>
      <c r="AA690" s="296" t="s">
        <v>48</v>
      </c>
      <c r="AB690" s="354" t="s">
        <v>142</v>
      </c>
      <c r="AC690" s="297">
        <v>410</v>
      </c>
      <c r="AD690" s="459">
        <f>9887+4794</f>
        <v>14681</v>
      </c>
      <c r="AE690" s="428">
        <v>0</v>
      </c>
      <c r="AF690" s="438">
        <v>0</v>
      </c>
      <c r="AG690" s="109"/>
      <c r="AH690" s="109"/>
    </row>
    <row r="691" spans="1:35" ht="18.75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R691" s="3"/>
      <c r="S691" s="3"/>
      <c r="X691" s="445" t="s">
        <v>408</v>
      </c>
      <c r="Y691" s="291" t="s">
        <v>409</v>
      </c>
      <c r="Z691" s="322"/>
      <c r="AA691" s="318"/>
      <c r="AB691" s="347"/>
      <c r="AC691" s="323"/>
      <c r="AD691" s="458">
        <f>AD692+AD700+AD860</f>
        <v>1424665.3</v>
      </c>
      <c r="AE691" s="427">
        <f>AE692+AE700+AE860</f>
        <v>1311935.6000000001</v>
      </c>
      <c r="AF691" s="437">
        <f>AF692+AF700+AF860</f>
        <v>1308625.9000000001</v>
      </c>
      <c r="AG691" s="109"/>
      <c r="AH691" s="109"/>
    </row>
    <row r="692" spans="1:3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R692" s="3"/>
      <c r="S692" s="3"/>
      <c r="X692" s="445" t="s">
        <v>24</v>
      </c>
      <c r="Y692" s="291" t="s">
        <v>409</v>
      </c>
      <c r="Z692" s="292" t="s">
        <v>28</v>
      </c>
      <c r="AA692" s="312"/>
      <c r="AB692" s="347"/>
      <c r="AC692" s="323"/>
      <c r="AD692" s="459">
        <f t="shared" ref="AD692:AF698" si="142">AD693</f>
        <v>12605.7</v>
      </c>
      <c r="AE692" s="428">
        <f t="shared" si="142"/>
        <v>0</v>
      </c>
      <c r="AF692" s="438">
        <f t="shared" si="142"/>
        <v>0</v>
      </c>
      <c r="AG692" s="109"/>
      <c r="AH692" s="109"/>
    </row>
    <row r="693" spans="1:3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R693" s="3"/>
      <c r="S693" s="3"/>
      <c r="X693" s="294" t="s">
        <v>13</v>
      </c>
      <c r="Y693" s="295" t="s">
        <v>409</v>
      </c>
      <c r="Z693" s="315" t="s">
        <v>28</v>
      </c>
      <c r="AA693" s="315">
        <v>13</v>
      </c>
      <c r="AB693" s="348"/>
      <c r="AC693" s="323"/>
      <c r="AD693" s="459">
        <f t="shared" si="142"/>
        <v>12605.7</v>
      </c>
      <c r="AE693" s="428">
        <f t="shared" si="142"/>
        <v>0</v>
      </c>
      <c r="AF693" s="438">
        <f t="shared" si="142"/>
        <v>0</v>
      </c>
      <c r="AG693" s="109"/>
      <c r="AH693" s="109"/>
    </row>
    <row r="694" spans="1:3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R694" s="3"/>
      <c r="S694" s="3"/>
      <c r="X694" s="299" t="s">
        <v>184</v>
      </c>
      <c r="Y694" s="295" t="s">
        <v>409</v>
      </c>
      <c r="Z694" s="315" t="s">
        <v>28</v>
      </c>
      <c r="AA694" s="315">
        <v>13</v>
      </c>
      <c r="AB694" s="348" t="s">
        <v>110</v>
      </c>
      <c r="AC694" s="323"/>
      <c r="AD694" s="459">
        <f t="shared" si="142"/>
        <v>12605.7</v>
      </c>
      <c r="AE694" s="428">
        <f t="shared" si="142"/>
        <v>0</v>
      </c>
      <c r="AF694" s="438">
        <f t="shared" si="142"/>
        <v>0</v>
      </c>
      <c r="AG694" s="109"/>
      <c r="AH694" s="109"/>
    </row>
    <row r="695" spans="1:3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R695" s="3"/>
      <c r="S695" s="3"/>
      <c r="X695" s="299" t="s">
        <v>187</v>
      </c>
      <c r="Y695" s="295" t="s">
        <v>409</v>
      </c>
      <c r="Z695" s="315" t="s">
        <v>28</v>
      </c>
      <c r="AA695" s="315">
        <v>13</v>
      </c>
      <c r="AB695" s="348" t="s">
        <v>188</v>
      </c>
      <c r="AC695" s="323"/>
      <c r="AD695" s="459">
        <f t="shared" si="142"/>
        <v>12605.7</v>
      </c>
      <c r="AE695" s="428">
        <f t="shared" si="142"/>
        <v>0</v>
      </c>
      <c r="AF695" s="438">
        <f t="shared" si="142"/>
        <v>0</v>
      </c>
      <c r="AG695" s="109"/>
      <c r="AH695" s="109"/>
    </row>
    <row r="696" spans="1:35" ht="31.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R696" s="3"/>
      <c r="S696" s="3"/>
      <c r="X696" s="299" t="s">
        <v>189</v>
      </c>
      <c r="Y696" s="295" t="s">
        <v>409</v>
      </c>
      <c r="Z696" s="315" t="s">
        <v>28</v>
      </c>
      <c r="AA696" s="315">
        <v>13</v>
      </c>
      <c r="AB696" s="348" t="s">
        <v>190</v>
      </c>
      <c r="AC696" s="323"/>
      <c r="AD696" s="459">
        <f>AD697</f>
        <v>12605.7</v>
      </c>
      <c r="AE696" s="428">
        <f>AE697</f>
        <v>0</v>
      </c>
      <c r="AF696" s="438">
        <f>AF697</f>
        <v>0</v>
      </c>
      <c r="AG696" s="109"/>
      <c r="AH696" s="109"/>
    </row>
    <row r="697" spans="1:35" ht="31.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R697" s="3"/>
      <c r="S697" s="3"/>
      <c r="X697" s="307" t="s">
        <v>215</v>
      </c>
      <c r="Y697" s="295" t="s">
        <v>409</v>
      </c>
      <c r="Z697" s="315" t="s">
        <v>28</v>
      </c>
      <c r="AA697" s="315">
        <v>13</v>
      </c>
      <c r="AB697" s="350" t="s">
        <v>216</v>
      </c>
      <c r="AC697" s="323"/>
      <c r="AD697" s="459">
        <f t="shared" si="142"/>
        <v>12605.7</v>
      </c>
      <c r="AE697" s="428">
        <f t="shared" si="142"/>
        <v>0</v>
      </c>
      <c r="AF697" s="438">
        <f t="shared" si="142"/>
        <v>0</v>
      </c>
      <c r="AG697" s="109"/>
      <c r="AH697" s="109"/>
    </row>
    <row r="698" spans="1:35" ht="31.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R698" s="3"/>
      <c r="S698" s="3"/>
      <c r="X698" s="294" t="s">
        <v>59</v>
      </c>
      <c r="Y698" s="295" t="s">
        <v>409</v>
      </c>
      <c r="Z698" s="315" t="s">
        <v>28</v>
      </c>
      <c r="AA698" s="315">
        <v>13</v>
      </c>
      <c r="AB698" s="350" t="s">
        <v>216</v>
      </c>
      <c r="AC698" s="376">
        <v>600</v>
      </c>
      <c r="AD698" s="459">
        <f t="shared" si="142"/>
        <v>12605.7</v>
      </c>
      <c r="AE698" s="428">
        <f t="shared" si="142"/>
        <v>0</v>
      </c>
      <c r="AF698" s="438">
        <f t="shared" si="142"/>
        <v>0</v>
      </c>
      <c r="AG698" s="109"/>
      <c r="AH698" s="109"/>
    </row>
    <row r="699" spans="1:3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R699" s="3"/>
      <c r="S699" s="3"/>
      <c r="X699" s="294" t="s">
        <v>60</v>
      </c>
      <c r="Y699" s="295" t="s">
        <v>409</v>
      </c>
      <c r="Z699" s="315" t="s">
        <v>28</v>
      </c>
      <c r="AA699" s="315">
        <v>13</v>
      </c>
      <c r="AB699" s="350" t="s">
        <v>216</v>
      </c>
      <c r="AC699" s="376">
        <v>610</v>
      </c>
      <c r="AD699" s="459">
        <f>26390.2-13784.5</f>
        <v>12605.7</v>
      </c>
      <c r="AE699" s="428">
        <f>26390.2-26390.2</f>
        <v>0</v>
      </c>
      <c r="AF699" s="438">
        <f>26390.2-26390.2</f>
        <v>0</v>
      </c>
      <c r="AG699" s="109"/>
      <c r="AH699" s="109"/>
    </row>
    <row r="700" spans="1:3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R700" s="3"/>
      <c r="S700" s="3"/>
      <c r="X700" s="445" t="s">
        <v>3</v>
      </c>
      <c r="Y700" s="291" t="s">
        <v>409</v>
      </c>
      <c r="Z700" s="312" t="s">
        <v>7</v>
      </c>
      <c r="AA700" s="346"/>
      <c r="AB700" s="345"/>
      <c r="AC700" s="317"/>
      <c r="AD700" s="458">
        <f>AD701+AD725+AD793+AD828+AD821</f>
        <v>1396707.7000000002</v>
      </c>
      <c r="AE700" s="427">
        <f>AE701+AE725+AE793+AE828+AE821</f>
        <v>1296873.6000000001</v>
      </c>
      <c r="AF700" s="437">
        <f>AF701+AF725+AF793+AF828+AF821</f>
        <v>1293563.9000000001</v>
      </c>
      <c r="AG700" s="109"/>
      <c r="AH700" s="109"/>
    </row>
    <row r="701" spans="1:3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R701" s="3"/>
      <c r="S701" s="3"/>
      <c r="X701" s="294" t="s">
        <v>18</v>
      </c>
      <c r="Y701" s="295" t="s">
        <v>409</v>
      </c>
      <c r="Z701" s="318" t="s">
        <v>7</v>
      </c>
      <c r="AA701" s="296" t="s">
        <v>28</v>
      </c>
      <c r="AB701" s="347"/>
      <c r="AC701" s="297"/>
      <c r="AD701" s="459">
        <f t="shared" ref="AD701:AF702" si="143">AD702</f>
        <v>474623.4</v>
      </c>
      <c r="AE701" s="428">
        <f t="shared" si="143"/>
        <v>461823.3</v>
      </c>
      <c r="AF701" s="438">
        <f t="shared" si="143"/>
        <v>467723.5</v>
      </c>
      <c r="AG701" s="143"/>
      <c r="AH701" s="143"/>
      <c r="AI701" s="143"/>
    </row>
    <row r="702" spans="1:3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R702" s="3"/>
      <c r="S702" s="3"/>
      <c r="X702" s="301" t="s">
        <v>260</v>
      </c>
      <c r="Y702" s="308" t="s">
        <v>409</v>
      </c>
      <c r="Z702" s="296" t="s">
        <v>7</v>
      </c>
      <c r="AA702" s="296" t="s">
        <v>28</v>
      </c>
      <c r="AB702" s="348" t="s">
        <v>98</v>
      </c>
      <c r="AC702" s="323"/>
      <c r="AD702" s="459">
        <f t="shared" si="143"/>
        <v>474623.4</v>
      </c>
      <c r="AE702" s="428">
        <f t="shared" si="143"/>
        <v>461823.3</v>
      </c>
      <c r="AF702" s="438">
        <f t="shared" si="143"/>
        <v>467723.5</v>
      </c>
      <c r="AG702" s="109"/>
      <c r="AH702" s="109"/>
    </row>
    <row r="703" spans="1:3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R703" s="3"/>
      <c r="S703" s="3"/>
      <c r="X703" s="301" t="s">
        <v>263</v>
      </c>
      <c r="Y703" s="308" t="s">
        <v>409</v>
      </c>
      <c r="Z703" s="318" t="s">
        <v>7</v>
      </c>
      <c r="AA703" s="296" t="s">
        <v>28</v>
      </c>
      <c r="AB703" s="348" t="s">
        <v>115</v>
      </c>
      <c r="AC703" s="297"/>
      <c r="AD703" s="459">
        <f>AD704+AD721</f>
        <v>474623.4</v>
      </c>
      <c r="AE703" s="428">
        <f>AE704</f>
        <v>461823.3</v>
      </c>
      <c r="AF703" s="438">
        <f>AF704</f>
        <v>467723.5</v>
      </c>
      <c r="AG703" s="109"/>
      <c r="AH703" s="109"/>
    </row>
    <row r="704" spans="1:35" ht="31.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R704" s="3"/>
      <c r="S704" s="3"/>
      <c r="X704" s="301" t="s">
        <v>443</v>
      </c>
      <c r="Y704" s="295" t="s">
        <v>409</v>
      </c>
      <c r="Z704" s="310" t="s">
        <v>7</v>
      </c>
      <c r="AA704" s="310" t="s">
        <v>28</v>
      </c>
      <c r="AB704" s="348" t="s">
        <v>442</v>
      </c>
      <c r="AC704" s="323"/>
      <c r="AD704" s="459">
        <f>AD705+AD712+AD715+AD718</f>
        <v>472460.4</v>
      </c>
      <c r="AE704" s="459">
        <f>AE705+AE712+AE715+AE718</f>
        <v>461823.3</v>
      </c>
      <c r="AF704" s="459">
        <f>AF705+AF712+AF715+AF718</f>
        <v>467723.5</v>
      </c>
      <c r="AG704" s="109"/>
      <c r="AH704" s="109"/>
    </row>
    <row r="705" spans="1:34" ht="31.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R705" s="3"/>
      <c r="S705" s="3"/>
      <c r="X705" s="446" t="s">
        <v>262</v>
      </c>
      <c r="Y705" s="295" t="s">
        <v>409</v>
      </c>
      <c r="Z705" s="318" t="s">
        <v>7</v>
      </c>
      <c r="AA705" s="296" t="s">
        <v>28</v>
      </c>
      <c r="AB705" s="348" t="s">
        <v>445</v>
      </c>
      <c r="AC705" s="375"/>
      <c r="AD705" s="459">
        <f>AD706+AD709</f>
        <v>201205.4</v>
      </c>
      <c r="AE705" s="428">
        <f>AE706</f>
        <v>188071.3</v>
      </c>
      <c r="AF705" s="438">
        <f>AF706</f>
        <v>193971.5</v>
      </c>
      <c r="AG705" s="109"/>
      <c r="AH705" s="109"/>
    </row>
    <row r="706" spans="1:34" ht="31.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R706" s="3"/>
      <c r="S706" s="3"/>
      <c r="X706" s="446" t="s">
        <v>329</v>
      </c>
      <c r="Y706" s="295" t="s">
        <v>409</v>
      </c>
      <c r="Z706" s="318" t="s">
        <v>7</v>
      </c>
      <c r="AA706" s="296" t="s">
        <v>28</v>
      </c>
      <c r="AB706" s="348" t="s">
        <v>446</v>
      </c>
      <c r="AC706" s="297"/>
      <c r="AD706" s="459">
        <f>AD707</f>
        <v>183834.4</v>
      </c>
      <c r="AE706" s="428">
        <f t="shared" ref="AD706:AF707" si="144">AE707</f>
        <v>188071.3</v>
      </c>
      <c r="AF706" s="438">
        <f t="shared" si="144"/>
        <v>193971.5</v>
      </c>
      <c r="AG706" s="109"/>
      <c r="AH706" s="109"/>
    </row>
    <row r="707" spans="1:34" ht="31.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R707" s="3"/>
      <c r="S707" s="3"/>
      <c r="X707" s="294" t="s">
        <v>59</v>
      </c>
      <c r="Y707" s="295" t="s">
        <v>409</v>
      </c>
      <c r="Z707" s="318" t="s">
        <v>7</v>
      </c>
      <c r="AA707" s="296" t="s">
        <v>28</v>
      </c>
      <c r="AB707" s="348" t="s">
        <v>446</v>
      </c>
      <c r="AC707" s="297">
        <v>600</v>
      </c>
      <c r="AD707" s="459">
        <f t="shared" si="144"/>
        <v>183834.4</v>
      </c>
      <c r="AE707" s="428">
        <f t="shared" si="144"/>
        <v>188071.3</v>
      </c>
      <c r="AF707" s="438">
        <f t="shared" si="144"/>
        <v>193971.5</v>
      </c>
      <c r="AG707" s="109"/>
      <c r="AH707" s="109"/>
    </row>
    <row r="708" spans="1:34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R708" s="3"/>
      <c r="S708" s="3"/>
      <c r="X708" s="294" t="s">
        <v>60</v>
      </c>
      <c r="Y708" s="295" t="s">
        <v>409</v>
      </c>
      <c r="Z708" s="296" t="s">
        <v>7</v>
      </c>
      <c r="AA708" s="296" t="s">
        <v>28</v>
      </c>
      <c r="AB708" s="348" t="s">
        <v>446</v>
      </c>
      <c r="AC708" s="297">
        <v>610</v>
      </c>
      <c r="AD708" s="459">
        <f>182591.4+1490.4-247.4</f>
        <v>183834.4</v>
      </c>
      <c r="AE708" s="428">
        <f>186524.3+1547</f>
        <v>188071.3</v>
      </c>
      <c r="AF708" s="438">
        <f>192370.3+1601.2</f>
        <v>193971.5</v>
      </c>
      <c r="AG708" s="109"/>
      <c r="AH708" s="109"/>
    </row>
    <row r="709" spans="1:34" ht="47.2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R709" s="3"/>
      <c r="S709" s="3"/>
      <c r="X709" s="294" t="s">
        <v>710</v>
      </c>
      <c r="Y709" s="295" t="s">
        <v>409</v>
      </c>
      <c r="Z709" s="318" t="s">
        <v>7</v>
      </c>
      <c r="AA709" s="296" t="s">
        <v>28</v>
      </c>
      <c r="AB709" s="348" t="s">
        <v>804</v>
      </c>
      <c r="AC709" s="297"/>
      <c r="AD709" s="459">
        <f t="shared" ref="AD709:AF710" si="145">AD710</f>
        <v>17371</v>
      </c>
      <c r="AE709" s="459">
        <f t="shared" si="145"/>
        <v>0</v>
      </c>
      <c r="AF709" s="459">
        <f t="shared" si="145"/>
        <v>0</v>
      </c>
      <c r="AG709" s="109"/>
      <c r="AH709" s="109"/>
    </row>
    <row r="710" spans="1:34" ht="31.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R710" s="3"/>
      <c r="S710" s="3"/>
      <c r="X710" s="294" t="s">
        <v>59</v>
      </c>
      <c r="Y710" s="295" t="s">
        <v>409</v>
      </c>
      <c r="Z710" s="318" t="s">
        <v>7</v>
      </c>
      <c r="AA710" s="296" t="s">
        <v>28</v>
      </c>
      <c r="AB710" s="348" t="s">
        <v>804</v>
      </c>
      <c r="AC710" s="297">
        <v>600</v>
      </c>
      <c r="AD710" s="459">
        <f t="shared" si="145"/>
        <v>17371</v>
      </c>
      <c r="AE710" s="459">
        <f t="shared" si="145"/>
        <v>0</v>
      </c>
      <c r="AF710" s="459">
        <f t="shared" si="145"/>
        <v>0</v>
      </c>
      <c r="AG710" s="109"/>
      <c r="AH710" s="109"/>
    </row>
    <row r="711" spans="1:34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R711" s="3"/>
      <c r="S711" s="3"/>
      <c r="X711" s="294" t="s">
        <v>60</v>
      </c>
      <c r="Y711" s="295" t="s">
        <v>409</v>
      </c>
      <c r="Z711" s="296" t="s">
        <v>7</v>
      </c>
      <c r="AA711" s="296" t="s">
        <v>28</v>
      </c>
      <c r="AB711" s="348" t="s">
        <v>804</v>
      </c>
      <c r="AC711" s="297">
        <v>610</v>
      </c>
      <c r="AD711" s="459">
        <f>26675.4-5000-1774.4-250-1400-880</f>
        <v>17371</v>
      </c>
      <c r="AE711" s="428">
        <v>0</v>
      </c>
      <c r="AF711" s="438">
        <v>0</v>
      </c>
      <c r="AG711" s="109"/>
      <c r="AH711" s="109"/>
    </row>
    <row r="712" spans="1:34" ht="126" x14ac:dyDescent="0.25">
      <c r="X712" s="449" t="s">
        <v>506</v>
      </c>
      <c r="Y712" s="295" t="s">
        <v>409</v>
      </c>
      <c r="Z712" s="310" t="s">
        <v>7</v>
      </c>
      <c r="AA712" s="310" t="s">
        <v>28</v>
      </c>
      <c r="AB712" s="348" t="s">
        <v>466</v>
      </c>
      <c r="AC712" s="375"/>
      <c r="AD712" s="459">
        <f t="shared" ref="AD712:AF713" si="146">AD713</f>
        <v>256577</v>
      </c>
      <c r="AE712" s="428">
        <f t="shared" si="146"/>
        <v>249569</v>
      </c>
      <c r="AF712" s="438">
        <f t="shared" si="146"/>
        <v>249569</v>
      </c>
      <c r="AG712" s="109"/>
      <c r="AH712" s="109"/>
    </row>
    <row r="713" spans="1:34" ht="31.5" x14ac:dyDescent="0.25">
      <c r="X713" s="294" t="s">
        <v>59</v>
      </c>
      <c r="Y713" s="308" t="s">
        <v>409</v>
      </c>
      <c r="Z713" s="310" t="s">
        <v>7</v>
      </c>
      <c r="AA713" s="310" t="s">
        <v>28</v>
      </c>
      <c r="AB713" s="348" t="s">
        <v>466</v>
      </c>
      <c r="AC713" s="323">
        <v>600</v>
      </c>
      <c r="AD713" s="459">
        <f t="shared" si="146"/>
        <v>256577</v>
      </c>
      <c r="AE713" s="428">
        <f t="shared" si="146"/>
        <v>249569</v>
      </c>
      <c r="AF713" s="438">
        <f t="shared" si="146"/>
        <v>249569</v>
      </c>
      <c r="AG713" s="109"/>
      <c r="AH713" s="109"/>
    </row>
    <row r="714" spans="1:34" x14ac:dyDescent="0.25">
      <c r="X714" s="294" t="s">
        <v>60</v>
      </c>
      <c r="Y714" s="295" t="s">
        <v>409</v>
      </c>
      <c r="Z714" s="318" t="s">
        <v>7</v>
      </c>
      <c r="AA714" s="296" t="s">
        <v>28</v>
      </c>
      <c r="AB714" s="348" t="s">
        <v>466</v>
      </c>
      <c r="AC714" s="323">
        <v>610</v>
      </c>
      <c r="AD714" s="459">
        <f>175097+70083+4389+227+6781</f>
        <v>256577</v>
      </c>
      <c r="AE714" s="428">
        <f>175097+70083+4389</f>
        <v>249569</v>
      </c>
      <c r="AF714" s="438">
        <f>175097+70083+4389</f>
        <v>249569</v>
      </c>
      <c r="AG714" s="109"/>
      <c r="AH714" s="109"/>
    </row>
    <row r="715" spans="1:34" ht="31.5" x14ac:dyDescent="0.25">
      <c r="X715" s="294" t="s">
        <v>755</v>
      </c>
      <c r="Y715" s="295" t="s">
        <v>409</v>
      </c>
      <c r="Z715" s="310" t="s">
        <v>7</v>
      </c>
      <c r="AA715" s="310" t="s">
        <v>28</v>
      </c>
      <c r="AB715" s="348" t="s">
        <v>613</v>
      </c>
      <c r="AC715" s="375"/>
      <c r="AD715" s="459">
        <f t="shared" ref="AD715:AF716" si="147">AD716</f>
        <v>200</v>
      </c>
      <c r="AE715" s="428">
        <f t="shared" si="147"/>
        <v>200</v>
      </c>
      <c r="AF715" s="438">
        <f t="shared" si="147"/>
        <v>200</v>
      </c>
      <c r="AG715" s="109"/>
      <c r="AH715" s="109"/>
    </row>
    <row r="716" spans="1:34" ht="31.5" x14ac:dyDescent="0.25">
      <c r="X716" s="294" t="s">
        <v>59</v>
      </c>
      <c r="Y716" s="308" t="s">
        <v>409</v>
      </c>
      <c r="Z716" s="310" t="s">
        <v>7</v>
      </c>
      <c r="AA716" s="310" t="s">
        <v>28</v>
      </c>
      <c r="AB716" s="348" t="s">
        <v>613</v>
      </c>
      <c r="AC716" s="323">
        <v>600</v>
      </c>
      <c r="AD716" s="459">
        <f t="shared" si="147"/>
        <v>200</v>
      </c>
      <c r="AE716" s="428">
        <f t="shared" si="147"/>
        <v>200</v>
      </c>
      <c r="AF716" s="438">
        <f t="shared" si="147"/>
        <v>200</v>
      </c>
      <c r="AG716" s="109"/>
      <c r="AH716" s="109"/>
    </row>
    <row r="717" spans="1:34" x14ac:dyDescent="0.25">
      <c r="X717" s="294" t="s">
        <v>60</v>
      </c>
      <c r="Y717" s="295" t="s">
        <v>409</v>
      </c>
      <c r="Z717" s="318" t="s">
        <v>7</v>
      </c>
      <c r="AA717" s="296" t="s">
        <v>28</v>
      </c>
      <c r="AB717" s="348" t="s">
        <v>613</v>
      </c>
      <c r="AC717" s="323">
        <v>610</v>
      </c>
      <c r="AD717" s="459">
        <v>200</v>
      </c>
      <c r="AE717" s="428">
        <v>200</v>
      </c>
      <c r="AF717" s="438">
        <v>200</v>
      </c>
      <c r="AG717" s="109"/>
      <c r="AH717" s="109"/>
    </row>
    <row r="718" spans="1:34" ht="31.5" customHeight="1" x14ac:dyDescent="0.25">
      <c r="X718" s="294" t="s">
        <v>762</v>
      </c>
      <c r="Y718" s="295" t="s">
        <v>409</v>
      </c>
      <c r="Z718" s="318" t="s">
        <v>7</v>
      </c>
      <c r="AA718" s="296" t="s">
        <v>28</v>
      </c>
      <c r="AB718" s="347" t="s">
        <v>651</v>
      </c>
      <c r="AC718" s="297"/>
      <c r="AD718" s="459">
        <f t="shared" ref="AD718:AF719" si="148">AD719</f>
        <v>14478</v>
      </c>
      <c r="AE718" s="428">
        <f t="shared" si="148"/>
        <v>23983</v>
      </c>
      <c r="AF718" s="438">
        <f t="shared" si="148"/>
        <v>23983</v>
      </c>
      <c r="AG718" s="109"/>
      <c r="AH718" s="109"/>
    </row>
    <row r="719" spans="1:34" ht="31.5" x14ac:dyDescent="0.25">
      <c r="X719" s="294" t="s">
        <v>59</v>
      </c>
      <c r="Y719" s="295" t="s">
        <v>409</v>
      </c>
      <c r="Z719" s="318" t="s">
        <v>7</v>
      </c>
      <c r="AA719" s="296" t="s">
        <v>28</v>
      </c>
      <c r="AB719" s="347" t="s">
        <v>651</v>
      </c>
      <c r="AC719" s="297">
        <v>600</v>
      </c>
      <c r="AD719" s="459">
        <f t="shared" si="148"/>
        <v>14478</v>
      </c>
      <c r="AE719" s="428">
        <f t="shared" si="148"/>
        <v>23983</v>
      </c>
      <c r="AF719" s="438">
        <f t="shared" si="148"/>
        <v>23983</v>
      </c>
      <c r="AG719" s="109"/>
      <c r="AH719" s="109"/>
    </row>
    <row r="720" spans="1:34" x14ac:dyDescent="0.25">
      <c r="X720" s="294" t="s">
        <v>60</v>
      </c>
      <c r="Y720" s="295" t="s">
        <v>409</v>
      </c>
      <c r="Z720" s="318" t="s">
        <v>7</v>
      </c>
      <c r="AA720" s="296" t="s">
        <v>28</v>
      </c>
      <c r="AB720" s="347" t="s">
        <v>651</v>
      </c>
      <c r="AC720" s="297">
        <v>610</v>
      </c>
      <c r="AD720" s="459">
        <f>19530+4453-7812-1693</f>
        <v>14478</v>
      </c>
      <c r="AE720" s="428">
        <f>4453+19530</f>
        <v>23983</v>
      </c>
      <c r="AF720" s="438">
        <f>19530+4453</f>
        <v>23983</v>
      </c>
      <c r="AG720" s="109"/>
      <c r="AH720" s="109"/>
    </row>
    <row r="721" spans="1:35" ht="47.25" x14ac:dyDescent="0.25">
      <c r="X721" s="301" t="s">
        <v>265</v>
      </c>
      <c r="Y721" s="295" t="s">
        <v>409</v>
      </c>
      <c r="Z721" s="318" t="s">
        <v>7</v>
      </c>
      <c r="AA721" s="297" t="s">
        <v>28</v>
      </c>
      <c r="AB721" s="300" t="s">
        <v>124</v>
      </c>
      <c r="AC721" s="298"/>
      <c r="AD721" s="482">
        <f t="shared" ref="AD721:AF723" si="149">AD722</f>
        <v>2163</v>
      </c>
      <c r="AE721" s="482">
        <f t="shared" si="149"/>
        <v>0</v>
      </c>
      <c r="AF721" s="482">
        <f t="shared" si="149"/>
        <v>0</v>
      </c>
      <c r="AG721" s="109"/>
      <c r="AH721" s="109"/>
    </row>
    <row r="722" spans="1:35" ht="63" x14ac:dyDescent="0.25">
      <c r="X722" s="294" t="s">
        <v>783</v>
      </c>
      <c r="Y722" s="295" t="s">
        <v>409</v>
      </c>
      <c r="Z722" s="318" t="s">
        <v>7</v>
      </c>
      <c r="AA722" s="297" t="s">
        <v>28</v>
      </c>
      <c r="AB722" s="300" t="s">
        <v>784</v>
      </c>
      <c r="AC722" s="298"/>
      <c r="AD722" s="482">
        <f t="shared" si="149"/>
        <v>2163</v>
      </c>
      <c r="AE722" s="482">
        <f t="shared" si="149"/>
        <v>0</v>
      </c>
      <c r="AF722" s="482">
        <f t="shared" si="149"/>
        <v>0</v>
      </c>
      <c r="AG722" s="109"/>
      <c r="AH722" s="109"/>
    </row>
    <row r="723" spans="1:35" ht="31.5" x14ac:dyDescent="0.25">
      <c r="X723" s="294" t="s">
        <v>59</v>
      </c>
      <c r="Y723" s="295" t="s">
        <v>409</v>
      </c>
      <c r="Z723" s="318" t="s">
        <v>7</v>
      </c>
      <c r="AA723" s="297" t="s">
        <v>28</v>
      </c>
      <c r="AB723" s="300" t="s">
        <v>784</v>
      </c>
      <c r="AC723" s="298">
        <v>600</v>
      </c>
      <c r="AD723" s="482">
        <f t="shared" si="149"/>
        <v>2163</v>
      </c>
      <c r="AE723" s="482">
        <f t="shared" si="149"/>
        <v>0</v>
      </c>
      <c r="AF723" s="482">
        <f t="shared" si="149"/>
        <v>0</v>
      </c>
      <c r="AG723" s="109"/>
      <c r="AH723" s="109"/>
    </row>
    <row r="724" spans="1:35" x14ac:dyDescent="0.25">
      <c r="X724" s="294" t="s">
        <v>60</v>
      </c>
      <c r="Y724" s="295" t="s">
        <v>409</v>
      </c>
      <c r="Z724" s="318" t="s">
        <v>7</v>
      </c>
      <c r="AA724" s="297" t="s">
        <v>28</v>
      </c>
      <c r="AB724" s="300" t="s">
        <v>784</v>
      </c>
      <c r="AC724" s="298">
        <v>610</v>
      </c>
      <c r="AD724" s="482">
        <v>2163</v>
      </c>
      <c r="AE724" s="482">
        <v>0</v>
      </c>
      <c r="AF724" s="482">
        <v>0</v>
      </c>
      <c r="AG724" s="109"/>
      <c r="AH724" s="109"/>
    </row>
    <row r="725" spans="1:3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R725" s="3"/>
      <c r="S725" s="3"/>
      <c r="X725" s="294" t="s">
        <v>33</v>
      </c>
      <c r="Y725" s="308" t="s">
        <v>409</v>
      </c>
      <c r="Z725" s="318" t="s">
        <v>7</v>
      </c>
      <c r="AA725" s="296" t="s">
        <v>29</v>
      </c>
      <c r="AB725" s="347"/>
      <c r="AC725" s="323"/>
      <c r="AD725" s="459">
        <f>AD726+AH7187+AD786</f>
        <v>810790.70000000007</v>
      </c>
      <c r="AE725" s="459">
        <f>AE726+AI7187+AE786</f>
        <v>727748.5</v>
      </c>
      <c r="AF725" s="459">
        <f>AF726+AJ7187+AF786</f>
        <v>716115.5</v>
      </c>
      <c r="AG725" s="143"/>
      <c r="AH725" s="143"/>
      <c r="AI725" s="143"/>
    </row>
    <row r="726" spans="1:35" x14ac:dyDescent="0.25">
      <c r="X726" s="301" t="s">
        <v>260</v>
      </c>
      <c r="Y726" s="295" t="s">
        <v>409</v>
      </c>
      <c r="Z726" s="318" t="s">
        <v>7</v>
      </c>
      <c r="AA726" s="296" t="s">
        <v>29</v>
      </c>
      <c r="AB726" s="348" t="s">
        <v>98</v>
      </c>
      <c r="AC726" s="297"/>
      <c r="AD726" s="459">
        <f>AD727</f>
        <v>804790.70000000007</v>
      </c>
      <c r="AE726" s="428">
        <f>AE727</f>
        <v>727748.5</v>
      </c>
      <c r="AF726" s="438">
        <f>AF727</f>
        <v>716115.5</v>
      </c>
    </row>
    <row r="727" spans="1:35" x14ac:dyDescent="0.25">
      <c r="X727" s="301" t="s">
        <v>263</v>
      </c>
      <c r="Y727" s="295" t="s">
        <v>409</v>
      </c>
      <c r="Z727" s="296" t="s">
        <v>7</v>
      </c>
      <c r="AA727" s="296" t="s">
        <v>29</v>
      </c>
      <c r="AB727" s="348" t="s">
        <v>115</v>
      </c>
      <c r="AC727" s="297"/>
      <c r="AD727" s="459">
        <f>AD728+AD751+AD765+AD772+AD776+AD761</f>
        <v>804790.70000000007</v>
      </c>
      <c r="AE727" s="459">
        <f>AE728+AE751+AE765+AE772+AE776+AE761</f>
        <v>727748.5</v>
      </c>
      <c r="AF727" s="459">
        <f>AF728+AF751+AF765+AF772+AF776+AF761</f>
        <v>716115.5</v>
      </c>
    </row>
    <row r="728" spans="1:35" ht="31.5" x14ac:dyDescent="0.25">
      <c r="X728" s="301" t="s">
        <v>264</v>
      </c>
      <c r="Y728" s="308" t="s">
        <v>409</v>
      </c>
      <c r="Z728" s="296" t="s">
        <v>7</v>
      </c>
      <c r="AA728" s="296" t="s">
        <v>29</v>
      </c>
      <c r="AB728" s="348" t="s">
        <v>442</v>
      </c>
      <c r="AC728" s="297"/>
      <c r="AD728" s="459">
        <f>AD732+AD739+AD744+AD729+AD745+AD748</f>
        <v>701386</v>
      </c>
      <c r="AE728" s="428">
        <f>AE732+AE739+AE744+AE729+AE745+AE748</f>
        <v>630900.1</v>
      </c>
      <c r="AF728" s="438">
        <f>AF732+AF739+AF744+AF729+AF745+AF748</f>
        <v>632000.5</v>
      </c>
    </row>
    <row r="729" spans="1:35" ht="31.5" x14ac:dyDescent="0.25">
      <c r="X729" s="301" t="s">
        <v>674</v>
      </c>
      <c r="Y729" s="295">
        <v>901</v>
      </c>
      <c r="Z729" s="318" t="s">
        <v>7</v>
      </c>
      <c r="AA729" s="296" t="s">
        <v>29</v>
      </c>
      <c r="AB729" s="348" t="s">
        <v>673</v>
      </c>
      <c r="AC729" s="370"/>
      <c r="AD729" s="459">
        <f t="shared" ref="AD729:AF730" si="150">AD730</f>
        <v>29743.600000000002</v>
      </c>
      <c r="AE729" s="428">
        <f t="shared" si="150"/>
        <v>21201.200000000001</v>
      </c>
      <c r="AF729" s="438">
        <f t="shared" si="150"/>
        <v>19198.599999999999</v>
      </c>
    </row>
    <row r="730" spans="1:35" x14ac:dyDescent="0.25">
      <c r="X730" s="294" t="s">
        <v>118</v>
      </c>
      <c r="Y730" s="295">
        <v>901</v>
      </c>
      <c r="Z730" s="318" t="s">
        <v>7</v>
      </c>
      <c r="AA730" s="296" t="s">
        <v>29</v>
      </c>
      <c r="AB730" s="348" t="s">
        <v>673</v>
      </c>
      <c r="AC730" s="297">
        <v>200</v>
      </c>
      <c r="AD730" s="459">
        <f t="shared" si="150"/>
        <v>29743.600000000002</v>
      </c>
      <c r="AE730" s="428">
        <f t="shared" si="150"/>
        <v>21201.200000000001</v>
      </c>
      <c r="AF730" s="438">
        <f t="shared" si="150"/>
        <v>19198.599999999999</v>
      </c>
    </row>
    <row r="731" spans="1:35" ht="31.5" x14ac:dyDescent="0.25">
      <c r="X731" s="294" t="s">
        <v>51</v>
      </c>
      <c r="Y731" s="295">
        <v>901</v>
      </c>
      <c r="Z731" s="296" t="s">
        <v>7</v>
      </c>
      <c r="AA731" s="296" t="s">
        <v>29</v>
      </c>
      <c r="AB731" s="348" t="s">
        <v>673</v>
      </c>
      <c r="AC731" s="297">
        <v>240</v>
      </c>
      <c r="AD731" s="459">
        <f>17836.4+12817.5-910.3</f>
        <v>29743.600000000002</v>
      </c>
      <c r="AE731" s="428">
        <f>19163.7+2037.5</f>
        <v>21201.200000000001</v>
      </c>
      <c r="AF731" s="438">
        <v>19198.599999999999</v>
      </c>
    </row>
    <row r="732" spans="1:35" ht="47.2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R732" s="3"/>
      <c r="S732" s="3"/>
      <c r="X732" s="301" t="s">
        <v>427</v>
      </c>
      <c r="Y732" s="308" t="s">
        <v>409</v>
      </c>
      <c r="Z732" s="296" t="s">
        <v>7</v>
      </c>
      <c r="AA732" s="296" t="s">
        <v>29</v>
      </c>
      <c r="AB732" s="348" t="s">
        <v>463</v>
      </c>
      <c r="AC732" s="297"/>
      <c r="AD732" s="459">
        <f>AD733+AD736</f>
        <v>142894.40000000002</v>
      </c>
      <c r="AE732" s="428">
        <f>AE733+AE736</f>
        <v>101185.9</v>
      </c>
      <c r="AF732" s="438">
        <f>AF733+AF736</f>
        <v>104288.90000000001</v>
      </c>
      <c r="AH732" s="3"/>
    </row>
    <row r="733" spans="1:35" ht="47.2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R733" s="3"/>
      <c r="S733" s="3"/>
      <c r="X733" s="301" t="s">
        <v>503</v>
      </c>
      <c r="Y733" s="295" t="s">
        <v>409</v>
      </c>
      <c r="Z733" s="296" t="s">
        <v>7</v>
      </c>
      <c r="AA733" s="296" t="s">
        <v>29</v>
      </c>
      <c r="AB733" s="348" t="s">
        <v>464</v>
      </c>
      <c r="AC733" s="375"/>
      <c r="AD733" s="459">
        <f t="shared" ref="AD733:AF734" si="151">AD734</f>
        <v>125443.70000000001</v>
      </c>
      <c r="AE733" s="428">
        <f t="shared" si="151"/>
        <v>101185.9</v>
      </c>
      <c r="AF733" s="438">
        <f t="shared" si="151"/>
        <v>104288.90000000001</v>
      </c>
      <c r="AH733" s="3"/>
    </row>
    <row r="734" spans="1:35" ht="31.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R734" s="3"/>
      <c r="S734" s="3"/>
      <c r="X734" s="294" t="s">
        <v>59</v>
      </c>
      <c r="Y734" s="295" t="s">
        <v>409</v>
      </c>
      <c r="Z734" s="296" t="s">
        <v>7</v>
      </c>
      <c r="AA734" s="296" t="s">
        <v>29</v>
      </c>
      <c r="AB734" s="348" t="s">
        <v>464</v>
      </c>
      <c r="AC734" s="297">
        <v>600</v>
      </c>
      <c r="AD734" s="459">
        <f t="shared" si="151"/>
        <v>125443.70000000001</v>
      </c>
      <c r="AE734" s="428">
        <f t="shared" si="151"/>
        <v>101185.9</v>
      </c>
      <c r="AF734" s="438">
        <f t="shared" si="151"/>
        <v>104288.90000000001</v>
      </c>
      <c r="AH734" s="3"/>
    </row>
    <row r="735" spans="1:3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R735" s="3"/>
      <c r="S735" s="3"/>
      <c r="X735" s="294" t="s">
        <v>60</v>
      </c>
      <c r="Y735" s="295" t="s">
        <v>409</v>
      </c>
      <c r="Z735" s="296" t="s">
        <v>7</v>
      </c>
      <c r="AA735" s="296" t="s">
        <v>29</v>
      </c>
      <c r="AB735" s="348" t="s">
        <v>464</v>
      </c>
      <c r="AC735" s="297">
        <v>610</v>
      </c>
      <c r="AD735" s="459">
        <f>96762.1+1614.6+3832.2+1000+11581.8+3161+1400+2602+3490</f>
        <v>125443.70000000001</v>
      </c>
      <c r="AE735" s="428">
        <f>99509.9+1676</f>
        <v>101185.9</v>
      </c>
      <c r="AF735" s="438">
        <f>102557.3+1731.6</f>
        <v>104288.90000000001</v>
      </c>
      <c r="AH735" s="3"/>
    </row>
    <row r="736" spans="1:35" ht="47.2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R736" s="3"/>
      <c r="S736" s="3"/>
      <c r="X736" s="294" t="s">
        <v>710</v>
      </c>
      <c r="Y736" s="295" t="s">
        <v>409</v>
      </c>
      <c r="Z736" s="296" t="s">
        <v>7</v>
      </c>
      <c r="AA736" s="296" t="s">
        <v>29</v>
      </c>
      <c r="AB736" s="348" t="s">
        <v>465</v>
      </c>
      <c r="AC736" s="297"/>
      <c r="AD736" s="459">
        <f>AD737</f>
        <v>17450.7</v>
      </c>
      <c r="AE736" s="459">
        <f t="shared" ref="AE736:AF736" si="152">AE737</f>
        <v>0</v>
      </c>
      <c r="AF736" s="459">
        <f t="shared" si="152"/>
        <v>0</v>
      </c>
      <c r="AH736" s="3"/>
    </row>
    <row r="737" spans="24:33" s="3" customFormat="1" ht="31.5" x14ac:dyDescent="0.25">
      <c r="X737" s="294" t="s">
        <v>59</v>
      </c>
      <c r="Y737" s="295" t="s">
        <v>409</v>
      </c>
      <c r="Z737" s="296" t="s">
        <v>7</v>
      </c>
      <c r="AA737" s="296" t="s">
        <v>29</v>
      </c>
      <c r="AB737" s="348" t="s">
        <v>465</v>
      </c>
      <c r="AC737" s="297">
        <v>600</v>
      </c>
      <c r="AD737" s="459">
        <f>AD738</f>
        <v>17450.7</v>
      </c>
      <c r="AE737" s="428">
        <f>AE738</f>
        <v>0</v>
      </c>
      <c r="AF737" s="438">
        <f>AF738</f>
        <v>0</v>
      </c>
      <c r="AG737" s="16"/>
    </row>
    <row r="738" spans="24:33" s="3" customFormat="1" x14ac:dyDescent="0.25">
      <c r="X738" s="294" t="s">
        <v>60</v>
      </c>
      <c r="Y738" s="295" t="s">
        <v>409</v>
      </c>
      <c r="Z738" s="296" t="s">
        <v>7</v>
      </c>
      <c r="AA738" s="296" t="s">
        <v>29</v>
      </c>
      <c r="AB738" s="348" t="s">
        <v>465</v>
      </c>
      <c r="AC738" s="297">
        <v>610</v>
      </c>
      <c r="AD738" s="459">
        <f>834.1+6980.5+5000+1774.4+250+831.7+900+880</f>
        <v>17450.7</v>
      </c>
      <c r="AE738" s="428">
        <v>0</v>
      </c>
      <c r="AF738" s="438">
        <v>0</v>
      </c>
      <c r="AG738" s="189"/>
    </row>
    <row r="739" spans="24:33" s="3" customFormat="1" ht="126" x14ac:dyDescent="0.25">
      <c r="X739" s="449" t="s">
        <v>506</v>
      </c>
      <c r="Y739" s="295" t="s">
        <v>409</v>
      </c>
      <c r="Z739" s="296" t="s">
        <v>7</v>
      </c>
      <c r="AA739" s="296" t="s">
        <v>29</v>
      </c>
      <c r="AB739" s="347" t="s">
        <v>466</v>
      </c>
      <c r="AC739" s="323"/>
      <c r="AD739" s="459">
        <f t="shared" ref="AD739:AF740" si="153">AD740</f>
        <v>506051</v>
      </c>
      <c r="AE739" s="428">
        <f t="shared" si="153"/>
        <v>479541</v>
      </c>
      <c r="AF739" s="438">
        <f t="shared" si="153"/>
        <v>479541</v>
      </c>
      <c r="AG739" s="16"/>
    </row>
    <row r="740" spans="24:33" s="3" customFormat="1" ht="31.5" x14ac:dyDescent="0.25">
      <c r="X740" s="294" t="s">
        <v>59</v>
      </c>
      <c r="Y740" s="295" t="s">
        <v>409</v>
      </c>
      <c r="Z740" s="296" t="s">
        <v>7</v>
      </c>
      <c r="AA740" s="296" t="s">
        <v>29</v>
      </c>
      <c r="AB740" s="347" t="s">
        <v>466</v>
      </c>
      <c r="AC740" s="297">
        <v>600</v>
      </c>
      <c r="AD740" s="459">
        <f t="shared" si="153"/>
        <v>506051</v>
      </c>
      <c r="AE740" s="428">
        <f t="shared" si="153"/>
        <v>479541</v>
      </c>
      <c r="AF740" s="438">
        <f t="shared" si="153"/>
        <v>479541</v>
      </c>
      <c r="AG740" s="16"/>
    </row>
    <row r="741" spans="24:33" s="3" customFormat="1" x14ac:dyDescent="0.25">
      <c r="X741" s="294" t="s">
        <v>60</v>
      </c>
      <c r="Y741" s="295" t="s">
        <v>409</v>
      </c>
      <c r="Z741" s="296" t="s">
        <v>7</v>
      </c>
      <c r="AA741" s="296" t="s">
        <v>29</v>
      </c>
      <c r="AB741" s="347" t="s">
        <v>466</v>
      </c>
      <c r="AC741" s="297">
        <v>610</v>
      </c>
      <c r="AD741" s="459">
        <f>361802+95703+22036+723+21273+4514</f>
        <v>506051</v>
      </c>
      <c r="AE741" s="428">
        <f>361802+95703+22036</f>
        <v>479541</v>
      </c>
      <c r="AF741" s="438">
        <f>361802+95703+22036</f>
        <v>479541</v>
      </c>
      <c r="AG741" s="16"/>
    </row>
    <row r="742" spans="24:33" s="3" customFormat="1" ht="31.5" x14ac:dyDescent="0.25">
      <c r="X742" s="294" t="s">
        <v>755</v>
      </c>
      <c r="Y742" s="295" t="s">
        <v>409</v>
      </c>
      <c r="Z742" s="296" t="s">
        <v>7</v>
      </c>
      <c r="AA742" s="296" t="s">
        <v>29</v>
      </c>
      <c r="AB742" s="348" t="s">
        <v>613</v>
      </c>
      <c r="AC742" s="375"/>
      <c r="AD742" s="459">
        <f t="shared" ref="AD742:AF743" si="154">AD743</f>
        <v>1708</v>
      </c>
      <c r="AE742" s="428">
        <f t="shared" si="154"/>
        <v>1708</v>
      </c>
      <c r="AF742" s="438">
        <f t="shared" si="154"/>
        <v>1708</v>
      </c>
      <c r="AG742" s="16"/>
    </row>
    <row r="743" spans="24:33" s="3" customFormat="1" ht="31.5" x14ac:dyDescent="0.25">
      <c r="X743" s="294" t="s">
        <v>59</v>
      </c>
      <c r="Y743" s="308" t="s">
        <v>409</v>
      </c>
      <c r="Z743" s="296" t="s">
        <v>7</v>
      </c>
      <c r="AA743" s="296" t="s">
        <v>29</v>
      </c>
      <c r="AB743" s="348" t="s">
        <v>613</v>
      </c>
      <c r="AC743" s="323">
        <v>600</v>
      </c>
      <c r="AD743" s="459">
        <f t="shared" si="154"/>
        <v>1708</v>
      </c>
      <c r="AE743" s="428">
        <f t="shared" si="154"/>
        <v>1708</v>
      </c>
      <c r="AF743" s="438">
        <f t="shared" si="154"/>
        <v>1708</v>
      </c>
      <c r="AG743" s="16"/>
    </row>
    <row r="744" spans="24:33" s="3" customFormat="1" x14ac:dyDescent="0.25">
      <c r="X744" s="294" t="s">
        <v>60</v>
      </c>
      <c r="Y744" s="295" t="s">
        <v>409</v>
      </c>
      <c r="Z744" s="296" t="s">
        <v>7</v>
      </c>
      <c r="AA744" s="296" t="s">
        <v>29</v>
      </c>
      <c r="AB744" s="348" t="s">
        <v>613</v>
      </c>
      <c r="AC744" s="323">
        <v>610</v>
      </c>
      <c r="AD744" s="459">
        <f>800+908</f>
        <v>1708</v>
      </c>
      <c r="AE744" s="428">
        <f>800+908</f>
        <v>1708</v>
      </c>
      <c r="AF744" s="438">
        <f>800+908</f>
        <v>1708</v>
      </c>
      <c r="AG744" s="16"/>
    </row>
    <row r="745" spans="24:33" s="3" customFormat="1" ht="63" x14ac:dyDescent="0.25">
      <c r="X745" s="294" t="s">
        <v>645</v>
      </c>
      <c r="Y745" s="295" t="s">
        <v>409</v>
      </c>
      <c r="Z745" s="296" t="s">
        <v>7</v>
      </c>
      <c r="AA745" s="296" t="s">
        <v>29</v>
      </c>
      <c r="AB745" s="347" t="s">
        <v>646</v>
      </c>
      <c r="AC745" s="297"/>
      <c r="AD745" s="459">
        <f t="shared" ref="AD745:AF746" si="155">AD746</f>
        <v>3490</v>
      </c>
      <c r="AE745" s="428">
        <f t="shared" si="155"/>
        <v>0</v>
      </c>
      <c r="AF745" s="438">
        <f t="shared" si="155"/>
        <v>0</v>
      </c>
      <c r="AG745" s="16"/>
    </row>
    <row r="746" spans="24:33" s="3" customFormat="1" ht="31.5" x14ac:dyDescent="0.25">
      <c r="X746" s="294" t="s">
        <v>59</v>
      </c>
      <c r="Y746" s="295" t="s">
        <v>409</v>
      </c>
      <c r="Z746" s="296" t="s">
        <v>7</v>
      </c>
      <c r="AA746" s="296" t="s">
        <v>29</v>
      </c>
      <c r="AB746" s="347" t="s">
        <v>646</v>
      </c>
      <c r="AC746" s="297">
        <v>600</v>
      </c>
      <c r="AD746" s="459">
        <f t="shared" si="155"/>
        <v>3490</v>
      </c>
      <c r="AE746" s="428">
        <f t="shared" si="155"/>
        <v>0</v>
      </c>
      <c r="AF746" s="438">
        <f t="shared" si="155"/>
        <v>0</v>
      </c>
      <c r="AG746" s="16"/>
    </row>
    <row r="747" spans="24:33" s="3" customFormat="1" x14ac:dyDescent="0.25">
      <c r="X747" s="294" t="s">
        <v>60</v>
      </c>
      <c r="Y747" s="295" t="s">
        <v>409</v>
      </c>
      <c r="Z747" s="296" t="s">
        <v>7</v>
      </c>
      <c r="AA747" s="296" t="s">
        <v>29</v>
      </c>
      <c r="AB747" s="347" t="s">
        <v>646</v>
      </c>
      <c r="AC747" s="297">
        <v>610</v>
      </c>
      <c r="AD747" s="459">
        <f>1910+625+955</f>
        <v>3490</v>
      </c>
      <c r="AE747" s="428">
        <v>0</v>
      </c>
      <c r="AF747" s="438">
        <v>0</v>
      </c>
      <c r="AG747" s="16"/>
    </row>
    <row r="748" spans="24:33" s="3" customFormat="1" ht="36" customHeight="1" x14ac:dyDescent="0.25">
      <c r="X748" s="294" t="s">
        <v>762</v>
      </c>
      <c r="Y748" s="295" t="s">
        <v>409</v>
      </c>
      <c r="Z748" s="296" t="s">
        <v>7</v>
      </c>
      <c r="AA748" s="296" t="s">
        <v>29</v>
      </c>
      <c r="AB748" s="347" t="s">
        <v>651</v>
      </c>
      <c r="AC748" s="297"/>
      <c r="AD748" s="459">
        <f t="shared" ref="AD748:AF749" si="156">AD749</f>
        <v>17499</v>
      </c>
      <c r="AE748" s="428">
        <f t="shared" si="156"/>
        <v>27264</v>
      </c>
      <c r="AF748" s="438">
        <f t="shared" si="156"/>
        <v>27264</v>
      </c>
      <c r="AG748" s="16"/>
    </row>
    <row r="749" spans="24:33" s="3" customFormat="1" ht="31.5" x14ac:dyDescent="0.25">
      <c r="X749" s="294" t="s">
        <v>59</v>
      </c>
      <c r="Y749" s="295" t="s">
        <v>409</v>
      </c>
      <c r="Z749" s="296" t="s">
        <v>7</v>
      </c>
      <c r="AA749" s="296" t="s">
        <v>29</v>
      </c>
      <c r="AB749" s="347" t="s">
        <v>651</v>
      </c>
      <c r="AC749" s="297">
        <v>600</v>
      </c>
      <c r="AD749" s="459">
        <f t="shared" si="156"/>
        <v>17499</v>
      </c>
      <c r="AE749" s="428">
        <f t="shared" si="156"/>
        <v>27264</v>
      </c>
      <c r="AF749" s="438">
        <f t="shared" si="156"/>
        <v>27264</v>
      </c>
      <c r="AG749" s="16"/>
    </row>
    <row r="750" spans="24:33" s="3" customFormat="1" x14ac:dyDescent="0.25">
      <c r="X750" s="294" t="s">
        <v>60</v>
      </c>
      <c r="Y750" s="295" t="s">
        <v>409</v>
      </c>
      <c r="Z750" s="296" t="s">
        <v>7</v>
      </c>
      <c r="AA750" s="296" t="s">
        <v>29</v>
      </c>
      <c r="AB750" s="347" t="s">
        <v>651</v>
      </c>
      <c r="AC750" s="297">
        <v>610</v>
      </c>
      <c r="AD750" s="459">
        <f>27264-9765</f>
        <v>17499</v>
      </c>
      <c r="AE750" s="428">
        <v>27264</v>
      </c>
      <c r="AF750" s="438">
        <v>27264</v>
      </c>
      <c r="AG750" s="16"/>
    </row>
    <row r="751" spans="24:33" s="3" customFormat="1" ht="47.25" x14ac:dyDescent="0.25">
      <c r="X751" s="301" t="s">
        <v>265</v>
      </c>
      <c r="Y751" s="295" t="s">
        <v>409</v>
      </c>
      <c r="Z751" s="296" t="s">
        <v>7</v>
      </c>
      <c r="AA751" s="296" t="s">
        <v>29</v>
      </c>
      <c r="AB751" s="348" t="s">
        <v>124</v>
      </c>
      <c r="AC751" s="297"/>
      <c r="AD751" s="459">
        <f>AD752+AD755+AD758</f>
        <v>46662.299999999996</v>
      </c>
      <c r="AE751" s="459">
        <f>AE752+AE755+AE758</f>
        <v>51469</v>
      </c>
      <c r="AF751" s="459">
        <f>AF752+AF755+AF758</f>
        <v>38704.6</v>
      </c>
    </row>
    <row r="752" spans="24:33" s="3" customFormat="1" ht="31.5" x14ac:dyDescent="0.25">
      <c r="X752" s="294" t="s">
        <v>505</v>
      </c>
      <c r="Y752" s="295" t="s">
        <v>409</v>
      </c>
      <c r="Z752" s="296" t="s">
        <v>7</v>
      </c>
      <c r="AA752" s="296" t="s">
        <v>29</v>
      </c>
      <c r="AB752" s="348" t="s">
        <v>467</v>
      </c>
      <c r="AC752" s="297"/>
      <c r="AD752" s="459">
        <f t="shared" ref="AD752:AF753" si="157">AD753</f>
        <v>18</v>
      </c>
      <c r="AE752" s="428">
        <f t="shared" si="157"/>
        <v>18</v>
      </c>
      <c r="AF752" s="438">
        <f t="shared" si="157"/>
        <v>18</v>
      </c>
    </row>
    <row r="753" spans="24:32" s="3" customFormat="1" ht="31.5" x14ac:dyDescent="0.25">
      <c r="X753" s="294" t="s">
        <v>59</v>
      </c>
      <c r="Y753" s="295" t="s">
        <v>409</v>
      </c>
      <c r="Z753" s="296" t="s">
        <v>7</v>
      </c>
      <c r="AA753" s="296" t="s">
        <v>29</v>
      </c>
      <c r="AB753" s="348" t="s">
        <v>467</v>
      </c>
      <c r="AC753" s="323">
        <v>600</v>
      </c>
      <c r="AD753" s="459">
        <f t="shared" si="157"/>
        <v>18</v>
      </c>
      <c r="AE753" s="428">
        <f t="shared" si="157"/>
        <v>18</v>
      </c>
      <c r="AF753" s="438">
        <f t="shared" si="157"/>
        <v>18</v>
      </c>
    </row>
    <row r="754" spans="24:32" s="3" customFormat="1" x14ac:dyDescent="0.25">
      <c r="X754" s="294" t="s">
        <v>60</v>
      </c>
      <c r="Y754" s="295" t="s">
        <v>409</v>
      </c>
      <c r="Z754" s="296" t="s">
        <v>7</v>
      </c>
      <c r="AA754" s="296" t="s">
        <v>29</v>
      </c>
      <c r="AB754" s="348" t="s">
        <v>467</v>
      </c>
      <c r="AC754" s="323">
        <v>610</v>
      </c>
      <c r="AD754" s="459">
        <v>18</v>
      </c>
      <c r="AE754" s="428">
        <v>18</v>
      </c>
      <c r="AF754" s="438">
        <v>18</v>
      </c>
    </row>
    <row r="755" spans="24:32" s="3" customFormat="1" ht="72.75" customHeight="1" x14ac:dyDescent="0.25">
      <c r="X755" s="294" t="s">
        <v>732</v>
      </c>
      <c r="Y755" s="295" t="s">
        <v>409</v>
      </c>
      <c r="Z755" s="296" t="s">
        <v>7</v>
      </c>
      <c r="AA755" s="296" t="s">
        <v>29</v>
      </c>
      <c r="AB755" s="347" t="s">
        <v>731</v>
      </c>
      <c r="AC755" s="297"/>
      <c r="AD755" s="459">
        <f t="shared" ref="AD755:AF756" si="158">AD756</f>
        <v>39953.799999999996</v>
      </c>
      <c r="AE755" s="428">
        <f t="shared" si="158"/>
        <v>39547.4</v>
      </c>
      <c r="AF755" s="438">
        <f t="shared" si="158"/>
        <v>38686.6</v>
      </c>
    </row>
    <row r="756" spans="24:32" s="3" customFormat="1" x14ac:dyDescent="0.25">
      <c r="X756" s="294" t="s">
        <v>118</v>
      </c>
      <c r="Y756" s="295" t="s">
        <v>409</v>
      </c>
      <c r="Z756" s="296" t="s">
        <v>7</v>
      </c>
      <c r="AA756" s="296" t="s">
        <v>29</v>
      </c>
      <c r="AB756" s="347" t="s">
        <v>731</v>
      </c>
      <c r="AC756" s="297">
        <v>200</v>
      </c>
      <c r="AD756" s="459">
        <f t="shared" si="158"/>
        <v>39953.799999999996</v>
      </c>
      <c r="AE756" s="428">
        <f t="shared" si="158"/>
        <v>39547.4</v>
      </c>
      <c r="AF756" s="438">
        <f t="shared" si="158"/>
        <v>38686.6</v>
      </c>
    </row>
    <row r="757" spans="24:32" s="3" customFormat="1" ht="31.5" x14ac:dyDescent="0.25">
      <c r="X757" s="294" t="s">
        <v>51</v>
      </c>
      <c r="Y757" s="295" t="s">
        <v>409</v>
      </c>
      <c r="Z757" s="296" t="s">
        <v>7</v>
      </c>
      <c r="AA757" s="296" t="s">
        <v>29</v>
      </c>
      <c r="AB757" s="347" t="s">
        <v>731</v>
      </c>
      <c r="AC757" s="297">
        <v>240</v>
      </c>
      <c r="AD757" s="459">
        <f>36496.8-538.4+4055.2-59.8</f>
        <v>39953.799999999996</v>
      </c>
      <c r="AE757" s="428">
        <f>36086.9-494.2+4009.7-55</f>
        <v>39547.4</v>
      </c>
      <c r="AF757" s="438">
        <f>34817.9+3868.7</f>
        <v>38686.6</v>
      </c>
    </row>
    <row r="758" spans="24:32" s="3" customFormat="1" ht="31.5" x14ac:dyDescent="0.25">
      <c r="X758" s="294" t="s">
        <v>817</v>
      </c>
      <c r="Y758" s="295" t="s">
        <v>409</v>
      </c>
      <c r="Z758" s="296" t="s">
        <v>7</v>
      </c>
      <c r="AA758" s="296" t="s">
        <v>29</v>
      </c>
      <c r="AB758" s="347" t="s">
        <v>818</v>
      </c>
      <c r="AC758" s="297"/>
      <c r="AD758" s="459">
        <f t="shared" ref="AD758:AF759" si="159">AD759</f>
        <v>6690.5</v>
      </c>
      <c r="AE758" s="459">
        <f t="shared" si="159"/>
        <v>11903.6</v>
      </c>
      <c r="AF758" s="459">
        <f t="shared" si="159"/>
        <v>0</v>
      </c>
    </row>
    <row r="759" spans="24:32" s="3" customFormat="1" x14ac:dyDescent="0.25">
      <c r="X759" s="294" t="s">
        <v>118</v>
      </c>
      <c r="Y759" s="295" t="s">
        <v>409</v>
      </c>
      <c r="Z759" s="296" t="s">
        <v>7</v>
      </c>
      <c r="AA759" s="296" t="s">
        <v>29</v>
      </c>
      <c r="AB759" s="347" t="s">
        <v>818</v>
      </c>
      <c r="AC759" s="297">
        <v>200</v>
      </c>
      <c r="AD759" s="459">
        <f t="shared" si="159"/>
        <v>6690.5</v>
      </c>
      <c r="AE759" s="459">
        <f t="shared" si="159"/>
        <v>11903.6</v>
      </c>
      <c r="AF759" s="459">
        <f t="shared" si="159"/>
        <v>0</v>
      </c>
    </row>
    <row r="760" spans="24:32" s="3" customFormat="1" ht="31.5" x14ac:dyDescent="0.25">
      <c r="X760" s="294" t="s">
        <v>51</v>
      </c>
      <c r="Y760" s="295" t="s">
        <v>409</v>
      </c>
      <c r="Z760" s="296" t="s">
        <v>7</v>
      </c>
      <c r="AA760" s="296" t="s">
        <v>29</v>
      </c>
      <c r="AB760" s="347" t="s">
        <v>818</v>
      </c>
      <c r="AC760" s="297">
        <v>240</v>
      </c>
      <c r="AD760" s="459">
        <f>6021.5+669</f>
        <v>6690.5</v>
      </c>
      <c r="AE760" s="428">
        <f>10713.2+1190.4</f>
        <v>11903.6</v>
      </c>
      <c r="AF760" s="438">
        <v>0</v>
      </c>
    </row>
    <row r="761" spans="24:32" s="3" customFormat="1" x14ac:dyDescent="0.25">
      <c r="X761" s="294" t="s">
        <v>822</v>
      </c>
      <c r="Y761" s="295" t="s">
        <v>409</v>
      </c>
      <c r="Z761" s="296" t="s">
        <v>7</v>
      </c>
      <c r="AA761" s="296" t="s">
        <v>29</v>
      </c>
      <c r="AB761" s="348" t="s">
        <v>824</v>
      </c>
      <c r="AC761" s="297"/>
      <c r="AD761" s="459">
        <f>AD762</f>
        <v>8763.1</v>
      </c>
      <c r="AE761" s="459">
        <f t="shared" ref="AE761:AF763" si="160">AE762</f>
        <v>0</v>
      </c>
      <c r="AF761" s="459">
        <f t="shared" si="160"/>
        <v>0</v>
      </c>
    </row>
    <row r="762" spans="24:32" s="3" customFormat="1" x14ac:dyDescent="0.25">
      <c r="X762" s="294" t="s">
        <v>823</v>
      </c>
      <c r="Y762" s="295" t="s">
        <v>409</v>
      </c>
      <c r="Z762" s="296" t="s">
        <v>7</v>
      </c>
      <c r="AA762" s="296" t="s">
        <v>29</v>
      </c>
      <c r="AB762" s="348" t="s">
        <v>825</v>
      </c>
      <c r="AC762" s="297"/>
      <c r="AD762" s="459">
        <f>AD763</f>
        <v>8763.1</v>
      </c>
      <c r="AE762" s="459">
        <f t="shared" si="160"/>
        <v>0</v>
      </c>
      <c r="AF762" s="459">
        <f t="shared" si="160"/>
        <v>0</v>
      </c>
    </row>
    <row r="763" spans="24:32" s="3" customFormat="1" ht="31.5" x14ac:dyDescent="0.25">
      <c r="X763" s="294" t="s">
        <v>59</v>
      </c>
      <c r="Y763" s="295" t="s">
        <v>409</v>
      </c>
      <c r="Z763" s="296" t="s">
        <v>7</v>
      </c>
      <c r="AA763" s="296" t="s">
        <v>29</v>
      </c>
      <c r="AB763" s="348" t="s">
        <v>825</v>
      </c>
      <c r="AC763" s="323">
        <v>600</v>
      </c>
      <c r="AD763" s="459">
        <f>AD764</f>
        <v>8763.1</v>
      </c>
      <c r="AE763" s="459">
        <f t="shared" si="160"/>
        <v>0</v>
      </c>
      <c r="AF763" s="459">
        <f t="shared" si="160"/>
        <v>0</v>
      </c>
    </row>
    <row r="764" spans="24:32" s="3" customFormat="1" x14ac:dyDescent="0.25">
      <c r="X764" s="294" t="s">
        <v>60</v>
      </c>
      <c r="Y764" s="295" t="s">
        <v>409</v>
      </c>
      <c r="Z764" s="296" t="s">
        <v>7</v>
      </c>
      <c r="AA764" s="296" t="s">
        <v>29</v>
      </c>
      <c r="AB764" s="348" t="s">
        <v>825</v>
      </c>
      <c r="AC764" s="323">
        <v>610</v>
      </c>
      <c r="AD764" s="459">
        <f>2920.9+876.2+876.2+4089.8</f>
        <v>8763.1</v>
      </c>
      <c r="AE764" s="428">
        <v>0</v>
      </c>
      <c r="AF764" s="438">
        <v>0</v>
      </c>
    </row>
    <row r="765" spans="24:32" s="3" customFormat="1" ht="47.25" x14ac:dyDescent="0.25">
      <c r="X765" s="301" t="s">
        <v>310</v>
      </c>
      <c r="Y765" s="295" t="s">
        <v>409</v>
      </c>
      <c r="Z765" s="296" t="s">
        <v>7</v>
      </c>
      <c r="AA765" s="296" t="s">
        <v>29</v>
      </c>
      <c r="AB765" s="348" t="s">
        <v>468</v>
      </c>
      <c r="AC765" s="323"/>
      <c r="AD765" s="459">
        <f>AD766+AD769</f>
        <v>5379.9</v>
      </c>
      <c r="AE765" s="428">
        <f>AE766+AE769</f>
        <v>5237.8999999999996</v>
      </c>
      <c r="AF765" s="438">
        <f>AF766+AF769</f>
        <v>5237.8999999999996</v>
      </c>
    </row>
    <row r="766" spans="24:32" s="3" customFormat="1" ht="47.25" x14ac:dyDescent="0.25">
      <c r="X766" s="301" t="s">
        <v>427</v>
      </c>
      <c r="Y766" s="295" t="s">
        <v>409</v>
      </c>
      <c r="Z766" s="296" t="s">
        <v>7</v>
      </c>
      <c r="AA766" s="296" t="s">
        <v>29</v>
      </c>
      <c r="AB766" s="348" t="s">
        <v>469</v>
      </c>
      <c r="AC766" s="323"/>
      <c r="AD766" s="459">
        <f t="shared" ref="AD766:AF767" si="161">AD767</f>
        <v>1865.9</v>
      </c>
      <c r="AE766" s="428">
        <f t="shared" si="161"/>
        <v>1865.9</v>
      </c>
      <c r="AF766" s="438">
        <f t="shared" si="161"/>
        <v>1865.9</v>
      </c>
    </row>
    <row r="767" spans="24:32" s="3" customFormat="1" ht="31.5" x14ac:dyDescent="0.25">
      <c r="X767" s="294" t="s">
        <v>59</v>
      </c>
      <c r="Y767" s="295" t="s">
        <v>409</v>
      </c>
      <c r="Z767" s="296" t="s">
        <v>7</v>
      </c>
      <c r="AA767" s="296" t="s">
        <v>29</v>
      </c>
      <c r="AB767" s="348" t="s">
        <v>469</v>
      </c>
      <c r="AC767" s="323">
        <v>600</v>
      </c>
      <c r="AD767" s="459">
        <f t="shared" si="161"/>
        <v>1865.9</v>
      </c>
      <c r="AE767" s="428">
        <f t="shared" si="161"/>
        <v>1865.9</v>
      </c>
      <c r="AF767" s="438">
        <f t="shared" si="161"/>
        <v>1865.9</v>
      </c>
    </row>
    <row r="768" spans="24:32" s="3" customFormat="1" x14ac:dyDescent="0.25">
      <c r="X768" s="294" t="s">
        <v>60</v>
      </c>
      <c r="Y768" s="295" t="s">
        <v>409</v>
      </c>
      <c r="Z768" s="296" t="s">
        <v>7</v>
      </c>
      <c r="AA768" s="296" t="s">
        <v>29</v>
      </c>
      <c r="AB768" s="348" t="s">
        <v>469</v>
      </c>
      <c r="AC768" s="323">
        <v>610</v>
      </c>
      <c r="AD768" s="459">
        <v>1865.9</v>
      </c>
      <c r="AE768" s="428">
        <v>1865.9</v>
      </c>
      <c r="AF768" s="438">
        <v>1865.9</v>
      </c>
    </row>
    <row r="769" spans="24:32" s="3" customFormat="1" ht="63" x14ac:dyDescent="0.25">
      <c r="X769" s="294" t="s">
        <v>614</v>
      </c>
      <c r="Y769" s="295" t="s">
        <v>409</v>
      </c>
      <c r="Z769" s="296" t="s">
        <v>7</v>
      </c>
      <c r="AA769" s="296" t="s">
        <v>29</v>
      </c>
      <c r="AB769" s="348" t="s">
        <v>612</v>
      </c>
      <c r="AC769" s="314"/>
      <c r="AD769" s="459">
        <f t="shared" ref="AD769:AF770" si="162">AD770</f>
        <v>3514</v>
      </c>
      <c r="AE769" s="428">
        <f t="shared" si="162"/>
        <v>3372</v>
      </c>
      <c r="AF769" s="438">
        <f t="shared" si="162"/>
        <v>3372</v>
      </c>
    </row>
    <row r="770" spans="24:32" s="3" customFormat="1" ht="31.5" x14ac:dyDescent="0.25">
      <c r="X770" s="294" t="s">
        <v>59</v>
      </c>
      <c r="Y770" s="295" t="s">
        <v>409</v>
      </c>
      <c r="Z770" s="296" t="s">
        <v>7</v>
      </c>
      <c r="AA770" s="296" t="s">
        <v>29</v>
      </c>
      <c r="AB770" s="348" t="s">
        <v>612</v>
      </c>
      <c r="AC770" s="323">
        <v>600</v>
      </c>
      <c r="AD770" s="459">
        <f t="shared" si="162"/>
        <v>3514</v>
      </c>
      <c r="AE770" s="428">
        <f t="shared" si="162"/>
        <v>3372</v>
      </c>
      <c r="AF770" s="438">
        <f t="shared" si="162"/>
        <v>3372</v>
      </c>
    </row>
    <row r="771" spans="24:32" s="3" customFormat="1" x14ac:dyDescent="0.25">
      <c r="X771" s="294" t="s">
        <v>60</v>
      </c>
      <c r="Y771" s="295" t="s">
        <v>409</v>
      </c>
      <c r="Z771" s="296" t="s">
        <v>7</v>
      </c>
      <c r="AA771" s="296" t="s">
        <v>29</v>
      </c>
      <c r="AB771" s="348" t="s">
        <v>612</v>
      </c>
      <c r="AC771" s="323">
        <v>610</v>
      </c>
      <c r="AD771" s="459">
        <f>3372+142</f>
        <v>3514</v>
      </c>
      <c r="AE771" s="428">
        <v>3372</v>
      </c>
      <c r="AF771" s="438">
        <v>3372</v>
      </c>
    </row>
    <row r="772" spans="24:32" s="3" customFormat="1" x14ac:dyDescent="0.25">
      <c r="X772" s="255" t="s">
        <v>725</v>
      </c>
      <c r="Y772" s="295" t="s">
        <v>409</v>
      </c>
      <c r="Z772" s="1" t="s">
        <v>7</v>
      </c>
      <c r="AA772" s="1" t="s">
        <v>29</v>
      </c>
      <c r="AB772" s="272" t="s">
        <v>726</v>
      </c>
      <c r="AC772" s="377"/>
      <c r="AD772" s="459">
        <f t="shared" ref="AD772:AF774" si="163">AD773</f>
        <v>2483.4</v>
      </c>
      <c r="AE772" s="428">
        <f t="shared" si="163"/>
        <v>0</v>
      </c>
      <c r="AF772" s="438">
        <f t="shared" si="163"/>
        <v>0</v>
      </c>
    </row>
    <row r="773" spans="24:32" s="3" customFormat="1" ht="31.5" x14ac:dyDescent="0.25">
      <c r="X773" s="255" t="s">
        <v>727</v>
      </c>
      <c r="Y773" s="295" t="s">
        <v>409</v>
      </c>
      <c r="Z773" s="1" t="s">
        <v>7</v>
      </c>
      <c r="AA773" s="1" t="s">
        <v>29</v>
      </c>
      <c r="AB773" s="272" t="s">
        <v>728</v>
      </c>
      <c r="AC773" s="377"/>
      <c r="AD773" s="459">
        <f t="shared" si="163"/>
        <v>2483.4</v>
      </c>
      <c r="AE773" s="428">
        <f t="shared" si="163"/>
        <v>0</v>
      </c>
      <c r="AF773" s="438">
        <f t="shared" si="163"/>
        <v>0</v>
      </c>
    </row>
    <row r="774" spans="24:32" s="3" customFormat="1" x14ac:dyDescent="0.25">
      <c r="X774" s="294" t="s">
        <v>118</v>
      </c>
      <c r="Y774" s="295" t="s">
        <v>409</v>
      </c>
      <c r="Z774" s="1" t="s">
        <v>7</v>
      </c>
      <c r="AA774" s="1" t="s">
        <v>29</v>
      </c>
      <c r="AB774" s="272" t="s">
        <v>728</v>
      </c>
      <c r="AC774" s="377">
        <v>200</v>
      </c>
      <c r="AD774" s="459">
        <f t="shared" si="163"/>
        <v>2483.4</v>
      </c>
      <c r="AE774" s="428">
        <f t="shared" si="163"/>
        <v>0</v>
      </c>
      <c r="AF774" s="438">
        <f t="shared" si="163"/>
        <v>0</v>
      </c>
    </row>
    <row r="775" spans="24:32" s="3" customFormat="1" ht="24" customHeight="1" x14ac:dyDescent="0.25">
      <c r="X775" s="294" t="s">
        <v>51</v>
      </c>
      <c r="Y775" s="295" t="s">
        <v>409</v>
      </c>
      <c r="Z775" s="1" t="s">
        <v>7</v>
      </c>
      <c r="AA775" s="1" t="s">
        <v>29</v>
      </c>
      <c r="AB775" s="272" t="s">
        <v>728</v>
      </c>
      <c r="AC775" s="377">
        <v>240</v>
      </c>
      <c r="AD775" s="459">
        <f>1970.9+512.5</f>
        <v>2483.4</v>
      </c>
      <c r="AE775" s="428">
        <v>0</v>
      </c>
      <c r="AF775" s="438">
        <v>0</v>
      </c>
    </row>
    <row r="776" spans="24:32" s="3" customFormat="1" x14ac:dyDescent="0.25">
      <c r="X776" s="255" t="s">
        <v>647</v>
      </c>
      <c r="Y776" s="295" t="s">
        <v>409</v>
      </c>
      <c r="Z776" s="1" t="s">
        <v>7</v>
      </c>
      <c r="AA776" s="1" t="s">
        <v>29</v>
      </c>
      <c r="AB776" s="272" t="s">
        <v>648</v>
      </c>
      <c r="AC776" s="377"/>
      <c r="AD776" s="459">
        <f>AD783+AD780+AD777</f>
        <v>40116</v>
      </c>
      <c r="AE776" s="428">
        <f>AE783+AE780+AE777</f>
        <v>40141.5</v>
      </c>
      <c r="AF776" s="438">
        <f>AF783+AF780+AF777</f>
        <v>40172.5</v>
      </c>
    </row>
    <row r="777" spans="24:32" s="3" customFormat="1" ht="108.75" customHeight="1" x14ac:dyDescent="0.25">
      <c r="X777" s="255" t="s">
        <v>729</v>
      </c>
      <c r="Y777" s="295" t="s">
        <v>409</v>
      </c>
      <c r="Z777" s="1" t="s">
        <v>7</v>
      </c>
      <c r="AA777" s="1" t="s">
        <v>29</v>
      </c>
      <c r="AB777" s="272" t="s">
        <v>730</v>
      </c>
      <c r="AC777" s="377"/>
      <c r="AD777" s="459">
        <f t="shared" ref="AD777:AF778" si="164">AD778</f>
        <v>312.5</v>
      </c>
      <c r="AE777" s="428">
        <f t="shared" si="164"/>
        <v>312.5</v>
      </c>
      <c r="AF777" s="438">
        <f t="shared" si="164"/>
        <v>312.5</v>
      </c>
    </row>
    <row r="778" spans="24:32" s="3" customFormat="1" ht="31.5" x14ac:dyDescent="0.25">
      <c r="X778" s="255" t="s">
        <v>59</v>
      </c>
      <c r="Y778" s="295" t="s">
        <v>409</v>
      </c>
      <c r="Z778" s="1" t="s">
        <v>7</v>
      </c>
      <c r="AA778" s="1" t="s">
        <v>29</v>
      </c>
      <c r="AB778" s="272" t="s">
        <v>730</v>
      </c>
      <c r="AC778" s="377">
        <v>600</v>
      </c>
      <c r="AD778" s="459">
        <f t="shared" si="164"/>
        <v>312.5</v>
      </c>
      <c r="AE778" s="428">
        <f t="shared" si="164"/>
        <v>312.5</v>
      </c>
      <c r="AF778" s="438">
        <f t="shared" si="164"/>
        <v>312.5</v>
      </c>
    </row>
    <row r="779" spans="24:32" s="3" customFormat="1" x14ac:dyDescent="0.25">
      <c r="X779" s="255" t="s">
        <v>60</v>
      </c>
      <c r="Y779" s="295" t="s">
        <v>409</v>
      </c>
      <c r="Z779" s="1" t="s">
        <v>7</v>
      </c>
      <c r="AA779" s="1" t="s">
        <v>29</v>
      </c>
      <c r="AB779" s="272" t="s">
        <v>730</v>
      </c>
      <c r="AC779" s="377">
        <v>610</v>
      </c>
      <c r="AD779" s="459">
        <v>312.5</v>
      </c>
      <c r="AE779" s="428">
        <v>312.5</v>
      </c>
      <c r="AF779" s="438">
        <v>312.5</v>
      </c>
    </row>
    <row r="780" spans="24:32" s="3" customFormat="1" ht="47.25" x14ac:dyDescent="0.25">
      <c r="X780" s="255" t="s">
        <v>652</v>
      </c>
      <c r="Y780" s="295" t="s">
        <v>409</v>
      </c>
      <c r="Z780" s="1" t="s">
        <v>7</v>
      </c>
      <c r="AA780" s="1" t="s">
        <v>29</v>
      </c>
      <c r="AB780" s="272" t="s">
        <v>653</v>
      </c>
      <c r="AC780" s="377"/>
      <c r="AD780" s="459">
        <f t="shared" ref="AD780:AF781" si="165">AD781</f>
        <v>1680.5</v>
      </c>
      <c r="AE780" s="428">
        <f t="shared" si="165"/>
        <v>1706</v>
      </c>
      <c r="AF780" s="438">
        <f t="shared" si="165"/>
        <v>1737</v>
      </c>
    </row>
    <row r="781" spans="24:32" s="3" customFormat="1" ht="31.5" x14ac:dyDescent="0.25">
      <c r="X781" s="294" t="s">
        <v>59</v>
      </c>
      <c r="Y781" s="295" t="s">
        <v>409</v>
      </c>
      <c r="Z781" s="1" t="s">
        <v>7</v>
      </c>
      <c r="AA781" s="1" t="s">
        <v>29</v>
      </c>
      <c r="AB781" s="272" t="s">
        <v>653</v>
      </c>
      <c r="AC781" s="377">
        <v>600</v>
      </c>
      <c r="AD781" s="459">
        <f t="shared" si="165"/>
        <v>1680.5</v>
      </c>
      <c r="AE781" s="428">
        <f t="shared" si="165"/>
        <v>1706</v>
      </c>
      <c r="AF781" s="438">
        <f t="shared" si="165"/>
        <v>1737</v>
      </c>
    </row>
    <row r="782" spans="24:32" s="3" customFormat="1" x14ac:dyDescent="0.25">
      <c r="X782" s="294" t="s">
        <v>60</v>
      </c>
      <c r="Y782" s="295" t="s">
        <v>409</v>
      </c>
      <c r="Z782" s="1" t="s">
        <v>7</v>
      </c>
      <c r="AA782" s="1" t="s">
        <v>29</v>
      </c>
      <c r="AB782" s="272" t="s">
        <v>653</v>
      </c>
      <c r="AC782" s="377">
        <v>610</v>
      </c>
      <c r="AD782" s="459">
        <f>1681-0.5</f>
        <v>1680.5</v>
      </c>
      <c r="AE782" s="428">
        <v>1706</v>
      </c>
      <c r="AF782" s="438">
        <v>1737</v>
      </c>
    </row>
    <row r="783" spans="24:32" s="3" customFormat="1" ht="78.75" x14ac:dyDescent="0.25">
      <c r="X783" s="255" t="s">
        <v>649</v>
      </c>
      <c r="Y783" s="295" t="s">
        <v>409</v>
      </c>
      <c r="Z783" s="1" t="s">
        <v>7</v>
      </c>
      <c r="AA783" s="1" t="s">
        <v>29</v>
      </c>
      <c r="AB783" s="272" t="s">
        <v>650</v>
      </c>
      <c r="AC783" s="377"/>
      <c r="AD783" s="459">
        <f t="shared" ref="AD783:AF784" si="166">AD784</f>
        <v>38123</v>
      </c>
      <c r="AE783" s="428">
        <f t="shared" si="166"/>
        <v>38123</v>
      </c>
      <c r="AF783" s="438">
        <f t="shared" si="166"/>
        <v>38123</v>
      </c>
    </row>
    <row r="784" spans="24:32" s="3" customFormat="1" ht="31.5" x14ac:dyDescent="0.25">
      <c r="X784" s="255" t="s">
        <v>59</v>
      </c>
      <c r="Y784" s="295" t="s">
        <v>409</v>
      </c>
      <c r="Z784" s="1" t="s">
        <v>7</v>
      </c>
      <c r="AA784" s="1" t="s">
        <v>29</v>
      </c>
      <c r="AB784" s="272" t="s">
        <v>650</v>
      </c>
      <c r="AC784" s="377">
        <v>600</v>
      </c>
      <c r="AD784" s="459">
        <f t="shared" si="166"/>
        <v>38123</v>
      </c>
      <c r="AE784" s="428">
        <f t="shared" si="166"/>
        <v>38123</v>
      </c>
      <c r="AF784" s="438">
        <f t="shared" si="166"/>
        <v>38123</v>
      </c>
    </row>
    <row r="785" spans="1:3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R785" s="3"/>
      <c r="S785" s="3"/>
      <c r="X785" s="255" t="s">
        <v>60</v>
      </c>
      <c r="Y785" s="295" t="s">
        <v>409</v>
      </c>
      <c r="Z785" s="1" t="s">
        <v>7</v>
      </c>
      <c r="AA785" s="1" t="s">
        <v>29</v>
      </c>
      <c r="AB785" s="272" t="s">
        <v>650</v>
      </c>
      <c r="AC785" s="377">
        <v>610</v>
      </c>
      <c r="AD785" s="459">
        <v>38123</v>
      </c>
      <c r="AE785" s="428">
        <v>38123</v>
      </c>
      <c r="AF785" s="438">
        <v>38123</v>
      </c>
      <c r="AG785" s="3"/>
      <c r="AH785" s="3"/>
    </row>
    <row r="786" spans="1:35" ht="31.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R786" s="3"/>
      <c r="S786" s="3"/>
      <c r="X786" s="196" t="s">
        <v>296</v>
      </c>
      <c r="Y786" s="295" t="s">
        <v>409</v>
      </c>
      <c r="Z786" s="1" t="s">
        <v>7</v>
      </c>
      <c r="AA786" s="1" t="s">
        <v>29</v>
      </c>
      <c r="AB786" s="116" t="s">
        <v>130</v>
      </c>
      <c r="AC786" s="377"/>
      <c r="AD786" s="459">
        <f t="shared" ref="AD786:AF787" si="167">AD787</f>
        <v>6000</v>
      </c>
      <c r="AE786" s="459">
        <f t="shared" si="167"/>
        <v>0</v>
      </c>
      <c r="AF786" s="459">
        <f t="shared" si="167"/>
        <v>0</v>
      </c>
      <c r="AG786" s="3"/>
      <c r="AH786" s="3"/>
    </row>
    <row r="787" spans="1:3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R787" s="3"/>
      <c r="S787" s="3"/>
      <c r="X787" s="255" t="s">
        <v>835</v>
      </c>
      <c r="Y787" s="295" t="s">
        <v>409</v>
      </c>
      <c r="Z787" s="1" t="s">
        <v>7</v>
      </c>
      <c r="AA787" s="1" t="s">
        <v>29</v>
      </c>
      <c r="AB787" s="116" t="s">
        <v>836</v>
      </c>
      <c r="AC787" s="377"/>
      <c r="AD787" s="459">
        <f t="shared" si="167"/>
        <v>6000</v>
      </c>
      <c r="AE787" s="459">
        <f t="shared" si="167"/>
        <v>0</v>
      </c>
      <c r="AF787" s="459">
        <f t="shared" si="167"/>
        <v>0</v>
      </c>
      <c r="AG787" s="3"/>
      <c r="AH787" s="3"/>
    </row>
    <row r="788" spans="1:3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R788" s="3"/>
      <c r="S788" s="3"/>
      <c r="X788" s="255" t="s">
        <v>838</v>
      </c>
      <c r="Y788" s="295" t="s">
        <v>409</v>
      </c>
      <c r="Z788" s="1" t="s">
        <v>7</v>
      </c>
      <c r="AA788" s="1" t="s">
        <v>29</v>
      </c>
      <c r="AB788" s="116" t="s">
        <v>837</v>
      </c>
      <c r="AC788" s="377"/>
      <c r="AD788" s="459">
        <f>AD790</f>
        <v>6000</v>
      </c>
      <c r="AE788" s="459">
        <f>AE790</f>
        <v>0</v>
      </c>
      <c r="AF788" s="459">
        <f>AF790</f>
        <v>0</v>
      </c>
      <c r="AG788" s="3"/>
      <c r="AH788" s="3"/>
    </row>
    <row r="789" spans="1:35" ht="31.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R789" s="3"/>
      <c r="S789" s="3"/>
      <c r="X789" s="255" t="s">
        <v>841</v>
      </c>
      <c r="Y789" s="295" t="s">
        <v>409</v>
      </c>
      <c r="Z789" s="1" t="s">
        <v>7</v>
      </c>
      <c r="AA789" s="1" t="s">
        <v>29</v>
      </c>
      <c r="AB789" s="116" t="s">
        <v>842</v>
      </c>
      <c r="AC789" s="377"/>
      <c r="AD789" s="459">
        <f t="shared" ref="AD789:AF791" si="168">AD790</f>
        <v>6000</v>
      </c>
      <c r="AE789" s="459">
        <f t="shared" si="168"/>
        <v>0</v>
      </c>
      <c r="AF789" s="459">
        <f t="shared" si="168"/>
        <v>0</v>
      </c>
      <c r="AG789" s="3"/>
      <c r="AH789" s="3"/>
    </row>
    <row r="790" spans="1:35" ht="69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R790" s="3"/>
      <c r="S790" s="3"/>
      <c r="X790" s="255" t="s">
        <v>839</v>
      </c>
      <c r="Y790" s="295" t="s">
        <v>409</v>
      </c>
      <c r="Z790" s="1" t="s">
        <v>7</v>
      </c>
      <c r="AA790" s="1" t="s">
        <v>29</v>
      </c>
      <c r="AB790" s="116" t="s">
        <v>840</v>
      </c>
      <c r="AC790" s="377"/>
      <c r="AD790" s="459">
        <f t="shared" si="168"/>
        <v>6000</v>
      </c>
      <c r="AE790" s="459">
        <f t="shared" si="168"/>
        <v>0</v>
      </c>
      <c r="AF790" s="459">
        <f t="shared" si="168"/>
        <v>0</v>
      </c>
      <c r="AG790" s="3"/>
      <c r="AH790" s="3"/>
    </row>
    <row r="791" spans="1:35" ht="31.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R791" s="3"/>
      <c r="S791" s="3"/>
      <c r="X791" s="255" t="s">
        <v>59</v>
      </c>
      <c r="Y791" s="295" t="s">
        <v>409</v>
      </c>
      <c r="Z791" s="1" t="s">
        <v>7</v>
      </c>
      <c r="AA791" s="1" t="s">
        <v>29</v>
      </c>
      <c r="AB791" s="116" t="s">
        <v>840</v>
      </c>
      <c r="AC791" s="377">
        <v>600</v>
      </c>
      <c r="AD791" s="459">
        <f t="shared" si="168"/>
        <v>6000</v>
      </c>
      <c r="AE791" s="459">
        <f t="shared" si="168"/>
        <v>0</v>
      </c>
      <c r="AF791" s="459">
        <f t="shared" si="168"/>
        <v>0</v>
      </c>
      <c r="AG791" s="3"/>
      <c r="AH791" s="3"/>
    </row>
    <row r="792" spans="1:3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R792" s="3"/>
      <c r="S792" s="3"/>
      <c r="X792" s="255" t="s">
        <v>60</v>
      </c>
      <c r="Y792" s="295" t="s">
        <v>409</v>
      </c>
      <c r="Z792" s="1" t="s">
        <v>7</v>
      </c>
      <c r="AA792" s="1" t="s">
        <v>29</v>
      </c>
      <c r="AB792" s="116" t="s">
        <v>840</v>
      </c>
      <c r="AC792" s="377">
        <v>610</v>
      </c>
      <c r="AD792" s="459">
        <f>2000+4000</f>
        <v>6000</v>
      </c>
      <c r="AE792" s="428">
        <v>0</v>
      </c>
      <c r="AF792" s="438">
        <v>0</v>
      </c>
      <c r="AG792" s="3"/>
      <c r="AH792" s="3"/>
    </row>
    <row r="793" spans="1:3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R793" s="3"/>
      <c r="S793" s="3"/>
      <c r="X793" s="294" t="s">
        <v>132</v>
      </c>
      <c r="Y793" s="295" t="s">
        <v>409</v>
      </c>
      <c r="Z793" s="318" t="s">
        <v>7</v>
      </c>
      <c r="AA793" s="296" t="s">
        <v>6</v>
      </c>
      <c r="AB793" s="347"/>
      <c r="AC793" s="297"/>
      <c r="AD793" s="459">
        <f>AD794</f>
        <v>78899.7</v>
      </c>
      <c r="AE793" s="428">
        <f>AE794</f>
        <v>76082.2</v>
      </c>
      <c r="AF793" s="438">
        <f>AF794</f>
        <v>78468.3</v>
      </c>
      <c r="AI793" s="16"/>
    </row>
    <row r="794" spans="1:3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R794" s="3"/>
      <c r="S794" s="3"/>
      <c r="X794" s="301" t="s">
        <v>260</v>
      </c>
      <c r="Y794" s="295" t="s">
        <v>409</v>
      </c>
      <c r="Z794" s="318" t="s">
        <v>7</v>
      </c>
      <c r="AA794" s="296" t="s">
        <v>6</v>
      </c>
      <c r="AB794" s="347" t="s">
        <v>98</v>
      </c>
      <c r="AC794" s="297"/>
      <c r="AD794" s="459">
        <f>AD795+AD803</f>
        <v>78899.7</v>
      </c>
      <c r="AE794" s="428">
        <f>AE795+AE803</f>
        <v>76082.2</v>
      </c>
      <c r="AF794" s="438">
        <f>AF795+AF803</f>
        <v>78468.3</v>
      </c>
    </row>
    <row r="795" spans="1:3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R795" s="3"/>
      <c r="S795" s="3"/>
      <c r="X795" s="301" t="s">
        <v>263</v>
      </c>
      <c r="Y795" s="295" t="s">
        <v>409</v>
      </c>
      <c r="Z795" s="318" t="s">
        <v>7</v>
      </c>
      <c r="AA795" s="296" t="s">
        <v>6</v>
      </c>
      <c r="AB795" s="348" t="s">
        <v>115</v>
      </c>
      <c r="AC795" s="297"/>
      <c r="AD795" s="459">
        <f>AD796</f>
        <v>5457</v>
      </c>
      <c r="AE795" s="428">
        <f>AE796</f>
        <v>5026</v>
      </c>
      <c r="AF795" s="438">
        <f>AF796</f>
        <v>5026</v>
      </c>
    </row>
    <row r="796" spans="1:35" ht="31.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R796" s="3"/>
      <c r="S796" s="3"/>
      <c r="X796" s="301" t="s">
        <v>264</v>
      </c>
      <c r="Y796" s="295" t="s">
        <v>409</v>
      </c>
      <c r="Z796" s="296" t="s">
        <v>7</v>
      </c>
      <c r="AA796" s="296" t="s">
        <v>6</v>
      </c>
      <c r="AB796" s="348" t="s">
        <v>442</v>
      </c>
      <c r="AC796" s="297"/>
      <c r="AD796" s="459">
        <f>AD797+AD800</f>
        <v>5457</v>
      </c>
      <c r="AE796" s="459">
        <f>AE797+AE800</f>
        <v>5026</v>
      </c>
      <c r="AF796" s="459">
        <f>AF797+AF800</f>
        <v>5026</v>
      </c>
    </row>
    <row r="797" spans="1:35" ht="126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R797" s="3"/>
      <c r="S797" s="3"/>
      <c r="X797" s="449" t="s">
        <v>506</v>
      </c>
      <c r="Y797" s="295" t="s">
        <v>409</v>
      </c>
      <c r="Z797" s="296" t="s">
        <v>7</v>
      </c>
      <c r="AA797" s="296" t="s">
        <v>6</v>
      </c>
      <c r="AB797" s="347" t="s">
        <v>466</v>
      </c>
      <c r="AC797" s="297"/>
      <c r="AD797" s="459">
        <f t="shared" ref="AD797:AF798" si="169">AD798</f>
        <v>5249</v>
      </c>
      <c r="AE797" s="428">
        <f t="shared" si="169"/>
        <v>5026</v>
      </c>
      <c r="AF797" s="438">
        <f t="shared" si="169"/>
        <v>5026</v>
      </c>
    </row>
    <row r="798" spans="1:35" ht="31.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R798" s="3"/>
      <c r="S798" s="3"/>
      <c r="X798" s="294" t="s">
        <v>59</v>
      </c>
      <c r="Y798" s="308" t="s">
        <v>409</v>
      </c>
      <c r="Z798" s="296" t="s">
        <v>7</v>
      </c>
      <c r="AA798" s="296" t="s">
        <v>6</v>
      </c>
      <c r="AB798" s="347" t="s">
        <v>466</v>
      </c>
      <c r="AC798" s="297">
        <v>600</v>
      </c>
      <c r="AD798" s="459">
        <f t="shared" si="169"/>
        <v>5249</v>
      </c>
      <c r="AE798" s="428">
        <f t="shared" si="169"/>
        <v>5026</v>
      </c>
      <c r="AF798" s="438">
        <f t="shared" si="169"/>
        <v>5026</v>
      </c>
    </row>
    <row r="799" spans="1:3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R799" s="3"/>
      <c r="S799" s="3"/>
      <c r="X799" s="294" t="s">
        <v>60</v>
      </c>
      <c r="Y799" s="308" t="s">
        <v>409</v>
      </c>
      <c r="Z799" s="296" t="s">
        <v>7</v>
      </c>
      <c r="AA799" s="296" t="s">
        <v>6</v>
      </c>
      <c r="AB799" s="347" t="s">
        <v>466</v>
      </c>
      <c r="AC799" s="297">
        <v>610</v>
      </c>
      <c r="AD799" s="459">
        <f>3758+1086+182+223</f>
        <v>5249</v>
      </c>
      <c r="AE799" s="428">
        <f>3758+1086+182</f>
        <v>5026</v>
      </c>
      <c r="AF799" s="438">
        <f>3758+1086+182</f>
        <v>5026</v>
      </c>
    </row>
    <row r="800" spans="1:35" ht="39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R800" s="3"/>
      <c r="S800" s="3"/>
      <c r="X800" s="294" t="s">
        <v>762</v>
      </c>
      <c r="Y800" s="295" t="s">
        <v>409</v>
      </c>
      <c r="Z800" s="296" t="s">
        <v>7</v>
      </c>
      <c r="AA800" s="296" t="s">
        <v>6</v>
      </c>
      <c r="AB800" s="347" t="s">
        <v>651</v>
      </c>
      <c r="AC800" s="297"/>
      <c r="AD800" s="459">
        <f t="shared" ref="AD800:AF801" si="170">AD801</f>
        <v>208</v>
      </c>
      <c r="AE800" s="428">
        <f t="shared" si="170"/>
        <v>0</v>
      </c>
      <c r="AF800" s="438">
        <f t="shared" si="170"/>
        <v>0</v>
      </c>
    </row>
    <row r="801" spans="1:34" ht="31.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R801" s="3"/>
      <c r="S801" s="3"/>
      <c r="X801" s="294" t="s">
        <v>59</v>
      </c>
      <c r="Y801" s="295" t="s">
        <v>409</v>
      </c>
      <c r="Z801" s="296" t="s">
        <v>7</v>
      </c>
      <c r="AA801" s="296" t="s">
        <v>6</v>
      </c>
      <c r="AB801" s="347" t="s">
        <v>651</v>
      </c>
      <c r="AC801" s="297">
        <v>600</v>
      </c>
      <c r="AD801" s="459">
        <f t="shared" si="170"/>
        <v>208</v>
      </c>
      <c r="AE801" s="428">
        <f t="shared" si="170"/>
        <v>0</v>
      </c>
      <c r="AF801" s="438">
        <f t="shared" si="170"/>
        <v>0</v>
      </c>
    </row>
    <row r="802" spans="1:34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R802" s="3"/>
      <c r="S802" s="3"/>
      <c r="X802" s="294" t="s">
        <v>60</v>
      </c>
      <c r="Y802" s="295" t="s">
        <v>409</v>
      </c>
      <c r="Z802" s="296" t="s">
        <v>7</v>
      </c>
      <c r="AA802" s="296" t="s">
        <v>6</v>
      </c>
      <c r="AB802" s="347" t="s">
        <v>651</v>
      </c>
      <c r="AC802" s="297">
        <v>610</v>
      </c>
      <c r="AD802" s="459">
        <v>208</v>
      </c>
      <c r="AE802" s="428">
        <v>0</v>
      </c>
      <c r="AF802" s="438">
        <v>0</v>
      </c>
    </row>
    <row r="803" spans="1:34" ht="31.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R803" s="3"/>
      <c r="S803" s="3"/>
      <c r="X803" s="301" t="s">
        <v>470</v>
      </c>
      <c r="Y803" s="295">
        <v>901</v>
      </c>
      <c r="Z803" s="318" t="s">
        <v>7</v>
      </c>
      <c r="AA803" s="296" t="s">
        <v>6</v>
      </c>
      <c r="AB803" s="348" t="s">
        <v>99</v>
      </c>
      <c r="AC803" s="370"/>
      <c r="AD803" s="461">
        <f>AD804+AD815</f>
        <v>73442.7</v>
      </c>
      <c r="AE803" s="430">
        <f>AE804+AE815</f>
        <v>71056.2</v>
      </c>
      <c r="AF803" s="439">
        <f>AF804+AF815</f>
        <v>73442.3</v>
      </c>
    </row>
    <row r="804" spans="1:34" ht="31.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R804" s="3"/>
      <c r="S804" s="3"/>
      <c r="X804" s="301" t="s">
        <v>507</v>
      </c>
      <c r="Y804" s="295">
        <v>901</v>
      </c>
      <c r="Z804" s="318" t="s">
        <v>7</v>
      </c>
      <c r="AA804" s="296" t="s">
        <v>6</v>
      </c>
      <c r="AB804" s="348" t="s">
        <v>472</v>
      </c>
      <c r="AC804" s="370"/>
      <c r="AD804" s="461">
        <f>AD805+AD812</f>
        <v>58252.899999999994</v>
      </c>
      <c r="AE804" s="461">
        <f t="shared" ref="AE804:AF804" si="171">AE805+AE812</f>
        <v>38974.5</v>
      </c>
      <c r="AF804" s="461">
        <f t="shared" si="171"/>
        <v>39288.600000000006</v>
      </c>
    </row>
    <row r="805" spans="1:34" ht="31.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R805" s="3"/>
      <c r="S805" s="3"/>
      <c r="X805" s="301" t="s">
        <v>266</v>
      </c>
      <c r="Y805" s="295">
        <v>901</v>
      </c>
      <c r="Z805" s="318" t="s">
        <v>7</v>
      </c>
      <c r="AA805" s="296" t="s">
        <v>6</v>
      </c>
      <c r="AB805" s="348" t="s">
        <v>473</v>
      </c>
      <c r="AC805" s="378"/>
      <c r="AD805" s="465">
        <f>AD806+AD809</f>
        <v>54353.899999999994</v>
      </c>
      <c r="AE805" s="465">
        <f>AE806+AE809</f>
        <v>38974.5</v>
      </c>
      <c r="AF805" s="465">
        <f>AF806+AF809</f>
        <v>39288.600000000006</v>
      </c>
    </row>
    <row r="806" spans="1:34" ht="31.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R806" s="3"/>
      <c r="S806" s="3"/>
      <c r="X806" s="294" t="s">
        <v>327</v>
      </c>
      <c r="Y806" s="295">
        <v>901</v>
      </c>
      <c r="Z806" s="318" t="s">
        <v>7</v>
      </c>
      <c r="AA806" s="296" t="s">
        <v>6</v>
      </c>
      <c r="AB806" s="348" t="s">
        <v>474</v>
      </c>
      <c r="AC806" s="379"/>
      <c r="AD806" s="461">
        <f t="shared" ref="AD806:AF807" si="172">AD807</f>
        <v>54263.899999999994</v>
      </c>
      <c r="AE806" s="430">
        <f t="shared" si="172"/>
        <v>38974.5</v>
      </c>
      <c r="AF806" s="439">
        <f t="shared" si="172"/>
        <v>39288.600000000006</v>
      </c>
    </row>
    <row r="807" spans="1:34" ht="31.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R807" s="3"/>
      <c r="S807" s="3"/>
      <c r="X807" s="294" t="s">
        <v>59</v>
      </c>
      <c r="Y807" s="295">
        <v>901</v>
      </c>
      <c r="Z807" s="318" t="s">
        <v>7</v>
      </c>
      <c r="AA807" s="296" t="s">
        <v>6</v>
      </c>
      <c r="AB807" s="348" t="s">
        <v>474</v>
      </c>
      <c r="AC807" s="297">
        <v>600</v>
      </c>
      <c r="AD807" s="461">
        <f t="shared" si="172"/>
        <v>54263.899999999994</v>
      </c>
      <c r="AE807" s="430">
        <f t="shared" si="172"/>
        <v>38974.5</v>
      </c>
      <c r="AF807" s="439">
        <f t="shared" si="172"/>
        <v>39288.600000000006</v>
      </c>
    </row>
    <row r="808" spans="1:34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R808" s="3"/>
      <c r="S808" s="3"/>
      <c r="X808" s="294" t="s">
        <v>60</v>
      </c>
      <c r="Y808" s="295">
        <v>901</v>
      </c>
      <c r="Z808" s="318" t="s">
        <v>7</v>
      </c>
      <c r="AA808" s="296" t="s">
        <v>6</v>
      </c>
      <c r="AB808" s="348" t="s">
        <v>474</v>
      </c>
      <c r="AC808" s="297">
        <v>610</v>
      </c>
      <c r="AD808" s="459">
        <f>58226.1-19462.2+15500</f>
        <v>54263.899999999994</v>
      </c>
      <c r="AE808" s="428">
        <f>58446.7-19472.2</f>
        <v>38974.5</v>
      </c>
      <c r="AF808" s="438">
        <f>58691.4-19402.8</f>
        <v>39288.600000000006</v>
      </c>
    </row>
    <row r="809" spans="1:34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R809" s="3"/>
      <c r="S809" s="3"/>
      <c r="X809" s="294" t="s">
        <v>845</v>
      </c>
      <c r="Y809" s="295">
        <v>901</v>
      </c>
      <c r="Z809" s="318" t="s">
        <v>7</v>
      </c>
      <c r="AA809" s="296" t="s">
        <v>6</v>
      </c>
      <c r="AB809" s="348" t="s">
        <v>846</v>
      </c>
      <c r="AC809" s="379"/>
      <c r="AD809" s="459">
        <f t="shared" ref="AD809:AF810" si="173">AD810</f>
        <v>90</v>
      </c>
      <c r="AE809" s="459">
        <f t="shared" si="173"/>
        <v>0</v>
      </c>
      <c r="AF809" s="459">
        <f t="shared" si="173"/>
        <v>0</v>
      </c>
    </row>
    <row r="810" spans="1:34" ht="31.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R810" s="3"/>
      <c r="S810" s="3"/>
      <c r="X810" s="294" t="s">
        <v>59</v>
      </c>
      <c r="Y810" s="295">
        <v>901</v>
      </c>
      <c r="Z810" s="318" t="s">
        <v>7</v>
      </c>
      <c r="AA810" s="296" t="s">
        <v>6</v>
      </c>
      <c r="AB810" s="348" t="s">
        <v>846</v>
      </c>
      <c r="AC810" s="297">
        <v>600</v>
      </c>
      <c r="AD810" s="459">
        <f t="shared" si="173"/>
        <v>90</v>
      </c>
      <c r="AE810" s="459">
        <f t="shared" si="173"/>
        <v>0</v>
      </c>
      <c r="AF810" s="459">
        <f t="shared" si="173"/>
        <v>0</v>
      </c>
    </row>
    <row r="811" spans="1:34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R811" s="3"/>
      <c r="S811" s="3"/>
      <c r="X811" s="294" t="s">
        <v>60</v>
      </c>
      <c r="Y811" s="295">
        <v>901</v>
      </c>
      <c r="Z811" s="318" t="s">
        <v>7</v>
      </c>
      <c r="AA811" s="296" t="s">
        <v>6</v>
      </c>
      <c r="AB811" s="348" t="s">
        <v>846</v>
      </c>
      <c r="AC811" s="297">
        <v>610</v>
      </c>
      <c r="AD811" s="459">
        <f>90</f>
        <v>90</v>
      </c>
      <c r="AE811" s="428">
        <v>0</v>
      </c>
      <c r="AF811" s="438">
        <v>0</v>
      </c>
    </row>
    <row r="812" spans="1:34" ht="31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R812" s="3"/>
      <c r="S812" s="3"/>
      <c r="X812" s="294" t="s">
        <v>893</v>
      </c>
      <c r="Y812" s="295">
        <v>901</v>
      </c>
      <c r="Z812" s="318" t="s">
        <v>7</v>
      </c>
      <c r="AA812" s="296" t="s">
        <v>6</v>
      </c>
      <c r="AB812" s="348" t="s">
        <v>894</v>
      </c>
      <c r="AC812" s="297"/>
      <c r="AD812" s="459">
        <f>AD813</f>
        <v>3899</v>
      </c>
      <c r="AE812" s="459">
        <f t="shared" ref="AE812:AF813" si="174">AE813</f>
        <v>0</v>
      </c>
      <c r="AF812" s="459">
        <f t="shared" si="174"/>
        <v>0</v>
      </c>
    </row>
    <row r="813" spans="1:34" ht="31.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R813" s="3"/>
      <c r="S813" s="3"/>
      <c r="X813" s="294" t="s">
        <v>59</v>
      </c>
      <c r="Y813" s="295">
        <v>901</v>
      </c>
      <c r="Z813" s="318" t="s">
        <v>7</v>
      </c>
      <c r="AA813" s="296" t="s">
        <v>6</v>
      </c>
      <c r="AB813" s="348" t="s">
        <v>894</v>
      </c>
      <c r="AC813" s="297">
        <v>600</v>
      </c>
      <c r="AD813" s="459">
        <f>AD814</f>
        <v>3899</v>
      </c>
      <c r="AE813" s="459">
        <f t="shared" si="174"/>
        <v>0</v>
      </c>
      <c r="AF813" s="459">
        <f t="shared" si="174"/>
        <v>0</v>
      </c>
    </row>
    <row r="814" spans="1:34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R814" s="3"/>
      <c r="S814" s="3"/>
      <c r="X814" s="294" t="s">
        <v>60</v>
      </c>
      <c r="Y814" s="295">
        <v>901</v>
      </c>
      <c r="Z814" s="318" t="s">
        <v>7</v>
      </c>
      <c r="AA814" s="296" t="s">
        <v>6</v>
      </c>
      <c r="AB814" s="348" t="s">
        <v>894</v>
      </c>
      <c r="AC814" s="297">
        <v>610</v>
      </c>
      <c r="AD814" s="459">
        <v>3899</v>
      </c>
      <c r="AE814" s="459">
        <v>0</v>
      </c>
      <c r="AF814" s="459">
        <v>0</v>
      </c>
    </row>
    <row r="815" spans="1:34" ht="31.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R815" s="3"/>
      <c r="S815" s="3"/>
      <c r="X815" s="301" t="s">
        <v>475</v>
      </c>
      <c r="Y815" s="295">
        <v>901</v>
      </c>
      <c r="Z815" s="296" t="s">
        <v>7</v>
      </c>
      <c r="AA815" s="296" t="s">
        <v>6</v>
      </c>
      <c r="AB815" s="348" t="s">
        <v>476</v>
      </c>
      <c r="AC815" s="323"/>
      <c r="AD815" s="461">
        <f t="shared" ref="AD815:AF816" si="175">AD816</f>
        <v>15189.8</v>
      </c>
      <c r="AE815" s="430">
        <f t="shared" si="175"/>
        <v>32081.7</v>
      </c>
      <c r="AF815" s="439">
        <f t="shared" si="175"/>
        <v>34153.699999999997</v>
      </c>
      <c r="AG815" s="3"/>
      <c r="AH815" s="3"/>
    </row>
    <row r="816" spans="1:34" ht="31.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R816" s="3"/>
      <c r="S816" s="3"/>
      <c r="X816" s="449" t="s">
        <v>154</v>
      </c>
      <c r="Y816" s="295">
        <v>901</v>
      </c>
      <c r="Z816" s="318" t="s">
        <v>7</v>
      </c>
      <c r="AA816" s="296" t="s">
        <v>6</v>
      </c>
      <c r="AB816" s="348" t="s">
        <v>477</v>
      </c>
      <c r="AC816" s="297"/>
      <c r="AD816" s="459">
        <f t="shared" si="175"/>
        <v>15189.8</v>
      </c>
      <c r="AE816" s="459">
        <f t="shared" si="175"/>
        <v>32081.7</v>
      </c>
      <c r="AF816" s="459">
        <f t="shared" si="175"/>
        <v>34153.699999999997</v>
      </c>
      <c r="AG816" s="3"/>
      <c r="AH816" s="3"/>
    </row>
    <row r="817" spans="24:32" s="3" customFormat="1" ht="31.5" x14ac:dyDescent="0.25">
      <c r="X817" s="294" t="s">
        <v>59</v>
      </c>
      <c r="Y817" s="295">
        <v>901</v>
      </c>
      <c r="Z817" s="318" t="s">
        <v>7</v>
      </c>
      <c r="AA817" s="296" t="s">
        <v>6</v>
      </c>
      <c r="AB817" s="348" t="s">
        <v>477</v>
      </c>
      <c r="AC817" s="297">
        <v>600</v>
      </c>
      <c r="AD817" s="459">
        <f>AD818+AD819+AD820</f>
        <v>15189.8</v>
      </c>
      <c r="AE817" s="428">
        <f>AE818+AE819+AE820</f>
        <v>32081.7</v>
      </c>
      <c r="AF817" s="438">
        <f>AF818+AF819+AF820</f>
        <v>34153.699999999997</v>
      </c>
    </row>
    <row r="818" spans="24:32" s="3" customFormat="1" x14ac:dyDescent="0.25">
      <c r="X818" s="294" t="s">
        <v>60</v>
      </c>
      <c r="Y818" s="295">
        <v>901</v>
      </c>
      <c r="Z818" s="318" t="s">
        <v>7</v>
      </c>
      <c r="AA818" s="296" t="s">
        <v>6</v>
      </c>
      <c r="AB818" s="348" t="s">
        <v>477</v>
      </c>
      <c r="AC818" s="297">
        <v>610</v>
      </c>
      <c r="AD818" s="459">
        <f>629.3+12290.3+17770.2-12817.5+12817.5-15500</f>
        <v>15189.8</v>
      </c>
      <c r="AE818" s="428">
        <f>629.3+12384+17771.3-2037.5</f>
        <v>28747.1</v>
      </c>
      <c r="AF818" s="438">
        <f>629.3+12487.9+17699</f>
        <v>30816.199999999997</v>
      </c>
    </row>
    <row r="819" spans="24:32" s="3" customFormat="1" x14ac:dyDescent="0.25">
      <c r="X819" s="294" t="s">
        <v>128</v>
      </c>
      <c r="Y819" s="295">
        <v>901</v>
      </c>
      <c r="Z819" s="318" t="s">
        <v>7</v>
      </c>
      <c r="AA819" s="296" t="s">
        <v>6</v>
      </c>
      <c r="AB819" s="348" t="s">
        <v>477</v>
      </c>
      <c r="AC819" s="297">
        <v>620</v>
      </c>
      <c r="AD819" s="459">
        <f>628.7+2068.3-2697</f>
        <v>0</v>
      </c>
      <c r="AE819" s="428">
        <f>628.7+2077.2</f>
        <v>2705.8999999999996</v>
      </c>
      <c r="AF819" s="438">
        <f>628.7+2080.1</f>
        <v>2708.8</v>
      </c>
    </row>
    <row r="820" spans="24:32" s="3" customFormat="1" ht="47.25" x14ac:dyDescent="0.25">
      <c r="X820" s="294" t="s">
        <v>359</v>
      </c>
      <c r="Y820" s="295">
        <v>901</v>
      </c>
      <c r="Z820" s="318" t="s">
        <v>7</v>
      </c>
      <c r="AA820" s="296" t="s">
        <v>6</v>
      </c>
      <c r="AB820" s="348" t="s">
        <v>477</v>
      </c>
      <c r="AC820" s="297">
        <v>630</v>
      </c>
      <c r="AD820" s="459">
        <f>628.7-628.7</f>
        <v>0</v>
      </c>
      <c r="AE820" s="428">
        <v>628.70000000000005</v>
      </c>
      <c r="AF820" s="438">
        <v>628.70000000000005</v>
      </c>
    </row>
    <row r="821" spans="24:32" s="3" customFormat="1" x14ac:dyDescent="0.25">
      <c r="X821" s="294" t="s">
        <v>133</v>
      </c>
      <c r="Y821" s="295">
        <v>901</v>
      </c>
      <c r="Z821" s="296" t="s">
        <v>7</v>
      </c>
      <c r="AA821" s="296" t="s">
        <v>7</v>
      </c>
      <c r="AB821" s="348"/>
      <c r="AC821" s="297"/>
      <c r="AD821" s="459">
        <f t="shared" ref="AD821:AD826" si="176">AD822</f>
        <v>1140.5999999999999</v>
      </c>
      <c r="AE821" s="428">
        <f t="shared" ref="AE821:AF826" si="177">AE822</f>
        <v>1250.5</v>
      </c>
      <c r="AF821" s="438">
        <f t="shared" si="177"/>
        <v>1250.5</v>
      </c>
    </row>
    <row r="822" spans="24:32" s="3" customFormat="1" ht="31.5" x14ac:dyDescent="0.25">
      <c r="X822" s="301" t="s">
        <v>296</v>
      </c>
      <c r="Y822" s="295">
        <v>901</v>
      </c>
      <c r="Z822" s="296" t="s">
        <v>7</v>
      </c>
      <c r="AA822" s="296" t="s">
        <v>7</v>
      </c>
      <c r="AB822" s="348" t="s">
        <v>130</v>
      </c>
      <c r="AC822" s="297"/>
      <c r="AD822" s="459">
        <f>AD823</f>
        <v>1140.5999999999999</v>
      </c>
      <c r="AE822" s="459">
        <f t="shared" si="177"/>
        <v>1250.5</v>
      </c>
      <c r="AF822" s="459">
        <f t="shared" si="177"/>
        <v>1250.5</v>
      </c>
    </row>
    <row r="823" spans="24:32" s="3" customFormat="1" x14ac:dyDescent="0.25">
      <c r="X823" s="301" t="s">
        <v>305</v>
      </c>
      <c r="Y823" s="295">
        <v>901</v>
      </c>
      <c r="Z823" s="315" t="s">
        <v>7</v>
      </c>
      <c r="AA823" s="315" t="s">
        <v>7</v>
      </c>
      <c r="AB823" s="348" t="s">
        <v>306</v>
      </c>
      <c r="AC823" s="297"/>
      <c r="AD823" s="459">
        <f t="shared" si="176"/>
        <v>1140.5999999999999</v>
      </c>
      <c r="AE823" s="428">
        <f t="shared" si="177"/>
        <v>1250.5</v>
      </c>
      <c r="AF823" s="438">
        <f t="shared" si="177"/>
        <v>1250.5</v>
      </c>
    </row>
    <row r="824" spans="24:32" s="3" customFormat="1" ht="63" x14ac:dyDescent="0.25">
      <c r="X824" s="447" t="s">
        <v>568</v>
      </c>
      <c r="Y824" s="295">
        <v>901</v>
      </c>
      <c r="Z824" s="315" t="s">
        <v>7</v>
      </c>
      <c r="AA824" s="315" t="s">
        <v>7</v>
      </c>
      <c r="AB824" s="349" t="s">
        <v>569</v>
      </c>
      <c r="AC824" s="297"/>
      <c r="AD824" s="459">
        <f t="shared" si="176"/>
        <v>1140.5999999999999</v>
      </c>
      <c r="AE824" s="428">
        <f t="shared" si="177"/>
        <v>1250.5</v>
      </c>
      <c r="AF824" s="438">
        <f t="shared" si="177"/>
        <v>1250.5</v>
      </c>
    </row>
    <row r="825" spans="24:32" s="3" customFormat="1" ht="31.5" x14ac:dyDescent="0.25">
      <c r="X825" s="447" t="s">
        <v>758</v>
      </c>
      <c r="Y825" s="295">
        <v>901</v>
      </c>
      <c r="Z825" s="296" t="s">
        <v>7</v>
      </c>
      <c r="AA825" s="296" t="s">
        <v>7</v>
      </c>
      <c r="AB825" s="349" t="s">
        <v>570</v>
      </c>
      <c r="AC825" s="297"/>
      <c r="AD825" s="459">
        <f t="shared" si="176"/>
        <v>1140.5999999999999</v>
      </c>
      <c r="AE825" s="428">
        <f t="shared" si="177"/>
        <v>1250.5</v>
      </c>
      <c r="AF825" s="438">
        <f t="shared" si="177"/>
        <v>1250.5</v>
      </c>
    </row>
    <row r="826" spans="24:32" s="3" customFormat="1" ht="31.5" x14ac:dyDescent="0.25">
      <c r="X826" s="294" t="s">
        <v>59</v>
      </c>
      <c r="Y826" s="295">
        <v>901</v>
      </c>
      <c r="Z826" s="315" t="s">
        <v>7</v>
      </c>
      <c r="AA826" s="315" t="s">
        <v>7</v>
      </c>
      <c r="AB826" s="349" t="s">
        <v>570</v>
      </c>
      <c r="AC826" s="297">
        <v>600</v>
      </c>
      <c r="AD826" s="459">
        <f t="shared" si="176"/>
        <v>1140.5999999999999</v>
      </c>
      <c r="AE826" s="428">
        <f t="shared" si="177"/>
        <v>1250.5</v>
      </c>
      <c r="AF826" s="438">
        <f t="shared" si="177"/>
        <v>1250.5</v>
      </c>
    </row>
    <row r="827" spans="24:32" s="3" customFormat="1" x14ac:dyDescent="0.25">
      <c r="X827" s="294" t="s">
        <v>60</v>
      </c>
      <c r="Y827" s="295">
        <v>901</v>
      </c>
      <c r="Z827" s="315" t="s">
        <v>7</v>
      </c>
      <c r="AA827" s="315" t="s">
        <v>7</v>
      </c>
      <c r="AB827" s="349" t="s">
        <v>570</v>
      </c>
      <c r="AC827" s="297">
        <v>610</v>
      </c>
      <c r="AD827" s="459">
        <f>1250.5-109.9</f>
        <v>1140.5999999999999</v>
      </c>
      <c r="AE827" s="428">
        <v>1250.5</v>
      </c>
      <c r="AF827" s="438">
        <v>1250.5</v>
      </c>
    </row>
    <row r="828" spans="24:32" s="3" customFormat="1" ht="17.25" customHeight="1" x14ac:dyDescent="0.25">
      <c r="X828" s="294" t="s">
        <v>37</v>
      </c>
      <c r="Y828" s="295">
        <v>901</v>
      </c>
      <c r="Z828" s="296" t="s">
        <v>7</v>
      </c>
      <c r="AA828" s="296" t="s">
        <v>21</v>
      </c>
      <c r="AB828" s="347"/>
      <c r="AC828" s="297"/>
      <c r="AD828" s="459">
        <f>AD829+AD847</f>
        <v>31253.300000000003</v>
      </c>
      <c r="AE828" s="459">
        <f t="shared" ref="AE828:AF828" si="178">AE829+AE847</f>
        <v>29969.100000000002</v>
      </c>
      <c r="AF828" s="459">
        <f t="shared" si="178"/>
        <v>30006.100000000002</v>
      </c>
    </row>
    <row r="829" spans="24:32" s="3" customFormat="1" x14ac:dyDescent="0.25">
      <c r="X829" s="301" t="s">
        <v>260</v>
      </c>
      <c r="Y829" s="295">
        <v>901</v>
      </c>
      <c r="Z829" s="296" t="s">
        <v>7</v>
      </c>
      <c r="AA829" s="296" t="s">
        <v>21</v>
      </c>
      <c r="AB829" s="347" t="s">
        <v>98</v>
      </c>
      <c r="AC829" s="323"/>
      <c r="AD829" s="459">
        <f t="shared" ref="AD829:AF830" si="179">AD830</f>
        <v>26563.100000000002</v>
      </c>
      <c r="AE829" s="428">
        <f t="shared" si="179"/>
        <v>25755.100000000002</v>
      </c>
      <c r="AF829" s="438">
        <f t="shared" si="179"/>
        <v>25755.100000000002</v>
      </c>
    </row>
    <row r="830" spans="24:32" s="3" customFormat="1" x14ac:dyDescent="0.25">
      <c r="X830" s="301" t="s">
        <v>47</v>
      </c>
      <c r="Y830" s="295" t="s">
        <v>409</v>
      </c>
      <c r="Z830" s="296" t="s">
        <v>7</v>
      </c>
      <c r="AA830" s="296" t="s">
        <v>21</v>
      </c>
      <c r="AB830" s="348" t="s">
        <v>478</v>
      </c>
      <c r="AC830" s="297"/>
      <c r="AD830" s="459">
        <f t="shared" si="179"/>
        <v>26563.100000000002</v>
      </c>
      <c r="AE830" s="428">
        <f t="shared" si="179"/>
        <v>25755.100000000002</v>
      </c>
      <c r="AF830" s="438">
        <f t="shared" si="179"/>
        <v>25755.100000000002</v>
      </c>
    </row>
    <row r="831" spans="24:32" s="3" customFormat="1" ht="31.5" x14ac:dyDescent="0.25">
      <c r="X831" s="301" t="s">
        <v>267</v>
      </c>
      <c r="Y831" s="295" t="s">
        <v>409</v>
      </c>
      <c r="Z831" s="296" t="s">
        <v>7</v>
      </c>
      <c r="AA831" s="296" t="s">
        <v>21</v>
      </c>
      <c r="AB831" s="348" t="s">
        <v>479</v>
      </c>
      <c r="AC831" s="297"/>
      <c r="AD831" s="459">
        <f>AD832+AD842</f>
        <v>26563.100000000002</v>
      </c>
      <c r="AE831" s="428">
        <f>AE832+AE842</f>
        <v>25755.100000000002</v>
      </c>
      <c r="AF831" s="438">
        <f>AF832+AF842</f>
        <v>25755.100000000002</v>
      </c>
    </row>
    <row r="832" spans="24:32" s="3" customFormat="1" x14ac:dyDescent="0.25">
      <c r="X832" s="449" t="s">
        <v>203</v>
      </c>
      <c r="Y832" s="295" t="s">
        <v>409</v>
      </c>
      <c r="Z832" s="296" t="s">
        <v>7</v>
      </c>
      <c r="AA832" s="296" t="s">
        <v>21</v>
      </c>
      <c r="AB832" s="348" t="s">
        <v>480</v>
      </c>
      <c r="AC832" s="297"/>
      <c r="AD832" s="459">
        <f>AD833+AD836+AD839</f>
        <v>26475.200000000001</v>
      </c>
      <c r="AE832" s="428">
        <f>AE833+AE836+AE839</f>
        <v>25567.200000000001</v>
      </c>
      <c r="AF832" s="438">
        <f>AF833+AF836+AF839</f>
        <v>25567.200000000001</v>
      </c>
    </row>
    <row r="833" spans="24:32" s="3" customFormat="1" ht="31.5" x14ac:dyDescent="0.25">
      <c r="X833" s="294" t="s">
        <v>204</v>
      </c>
      <c r="Y833" s="295" t="s">
        <v>409</v>
      </c>
      <c r="Z833" s="296" t="s">
        <v>7</v>
      </c>
      <c r="AA833" s="296" t="s">
        <v>21</v>
      </c>
      <c r="AB833" s="348" t="s">
        <v>481</v>
      </c>
      <c r="AC833" s="297"/>
      <c r="AD833" s="459">
        <f t="shared" ref="AD833:AF834" si="180">AD834</f>
        <v>1495.2</v>
      </c>
      <c r="AE833" s="428">
        <f t="shared" si="180"/>
        <v>1485.2</v>
      </c>
      <c r="AF833" s="438">
        <f t="shared" si="180"/>
        <v>1485.2</v>
      </c>
    </row>
    <row r="834" spans="24:32" s="3" customFormat="1" x14ac:dyDescent="0.25">
      <c r="X834" s="294" t="s">
        <v>118</v>
      </c>
      <c r="Y834" s="295" t="s">
        <v>409</v>
      </c>
      <c r="Z834" s="296" t="s">
        <v>7</v>
      </c>
      <c r="AA834" s="296" t="s">
        <v>21</v>
      </c>
      <c r="AB834" s="348" t="s">
        <v>481</v>
      </c>
      <c r="AC834" s="297">
        <v>200</v>
      </c>
      <c r="AD834" s="459">
        <f t="shared" si="180"/>
        <v>1495.2</v>
      </c>
      <c r="AE834" s="428">
        <f t="shared" si="180"/>
        <v>1485.2</v>
      </c>
      <c r="AF834" s="438">
        <f t="shared" si="180"/>
        <v>1485.2</v>
      </c>
    </row>
    <row r="835" spans="24:32" s="3" customFormat="1" ht="31.5" x14ac:dyDescent="0.25">
      <c r="X835" s="294" t="s">
        <v>51</v>
      </c>
      <c r="Y835" s="295" t="s">
        <v>409</v>
      </c>
      <c r="Z835" s="296" t="s">
        <v>7</v>
      </c>
      <c r="AA835" s="296" t="s">
        <v>21</v>
      </c>
      <c r="AB835" s="348" t="s">
        <v>481</v>
      </c>
      <c r="AC835" s="297">
        <v>240</v>
      </c>
      <c r="AD835" s="459">
        <f>1485.2+10</f>
        <v>1495.2</v>
      </c>
      <c r="AE835" s="428">
        <v>1485.2</v>
      </c>
      <c r="AF835" s="438">
        <v>1485.2</v>
      </c>
    </row>
    <row r="836" spans="24:32" s="3" customFormat="1" ht="31.5" x14ac:dyDescent="0.25">
      <c r="X836" s="294" t="s">
        <v>345</v>
      </c>
      <c r="Y836" s="295" t="s">
        <v>409</v>
      </c>
      <c r="Z836" s="296" t="s">
        <v>7</v>
      </c>
      <c r="AA836" s="296" t="s">
        <v>21</v>
      </c>
      <c r="AB836" s="348" t="s">
        <v>482</v>
      </c>
      <c r="AC836" s="297"/>
      <c r="AD836" s="459">
        <f t="shared" ref="AD836:AF837" si="181">AD837</f>
        <v>11514.6</v>
      </c>
      <c r="AE836" s="428">
        <f t="shared" si="181"/>
        <v>10616.6</v>
      </c>
      <c r="AF836" s="438">
        <f t="shared" si="181"/>
        <v>10616.6</v>
      </c>
    </row>
    <row r="837" spans="24:32" s="3" customFormat="1" ht="47.25" x14ac:dyDescent="0.25">
      <c r="X837" s="294" t="s">
        <v>40</v>
      </c>
      <c r="Y837" s="295" t="s">
        <v>409</v>
      </c>
      <c r="Z837" s="296" t="s">
        <v>7</v>
      </c>
      <c r="AA837" s="296" t="s">
        <v>21</v>
      </c>
      <c r="AB837" s="348" t="s">
        <v>482</v>
      </c>
      <c r="AC837" s="297">
        <v>100</v>
      </c>
      <c r="AD837" s="459">
        <f t="shared" si="181"/>
        <v>11514.6</v>
      </c>
      <c r="AE837" s="428">
        <f t="shared" si="181"/>
        <v>10616.6</v>
      </c>
      <c r="AF837" s="438">
        <f t="shared" si="181"/>
        <v>10616.6</v>
      </c>
    </row>
    <row r="838" spans="24:32" s="3" customFormat="1" x14ac:dyDescent="0.25">
      <c r="X838" s="294" t="s">
        <v>94</v>
      </c>
      <c r="Y838" s="295" t="s">
        <v>409</v>
      </c>
      <c r="Z838" s="296" t="s">
        <v>7</v>
      </c>
      <c r="AA838" s="296" t="s">
        <v>21</v>
      </c>
      <c r="AB838" s="348" t="s">
        <v>482</v>
      </c>
      <c r="AC838" s="297">
        <v>120</v>
      </c>
      <c r="AD838" s="459">
        <f>10616.6+898</f>
        <v>11514.6</v>
      </c>
      <c r="AE838" s="428">
        <v>10616.6</v>
      </c>
      <c r="AF838" s="438">
        <v>10616.6</v>
      </c>
    </row>
    <row r="839" spans="24:32" s="3" customFormat="1" ht="31.5" x14ac:dyDescent="0.25">
      <c r="X839" s="294" t="s">
        <v>268</v>
      </c>
      <c r="Y839" s="295" t="s">
        <v>409</v>
      </c>
      <c r="Z839" s="296" t="s">
        <v>7</v>
      </c>
      <c r="AA839" s="296" t="s">
        <v>21</v>
      </c>
      <c r="AB839" s="348" t="s">
        <v>483</v>
      </c>
      <c r="AC839" s="297"/>
      <c r="AD839" s="459">
        <f t="shared" ref="AD839:AF840" si="182">AD840</f>
        <v>13465.4</v>
      </c>
      <c r="AE839" s="428">
        <f t="shared" si="182"/>
        <v>13465.4</v>
      </c>
      <c r="AF839" s="438">
        <f t="shared" si="182"/>
        <v>13465.4</v>
      </c>
    </row>
    <row r="840" spans="24:32" s="3" customFormat="1" ht="47.25" x14ac:dyDescent="0.25">
      <c r="X840" s="294" t="s">
        <v>40</v>
      </c>
      <c r="Y840" s="295" t="s">
        <v>409</v>
      </c>
      <c r="Z840" s="296" t="s">
        <v>7</v>
      </c>
      <c r="AA840" s="296" t="s">
        <v>21</v>
      </c>
      <c r="AB840" s="348" t="s">
        <v>483</v>
      </c>
      <c r="AC840" s="297">
        <v>100</v>
      </c>
      <c r="AD840" s="459">
        <f t="shared" si="182"/>
        <v>13465.4</v>
      </c>
      <c r="AE840" s="428">
        <f t="shared" si="182"/>
        <v>13465.4</v>
      </c>
      <c r="AF840" s="438">
        <f t="shared" si="182"/>
        <v>13465.4</v>
      </c>
    </row>
    <row r="841" spans="24:32" s="3" customFormat="1" x14ac:dyDescent="0.25">
      <c r="X841" s="294" t="s">
        <v>94</v>
      </c>
      <c r="Y841" s="295" t="s">
        <v>409</v>
      </c>
      <c r="Z841" s="296" t="s">
        <v>7</v>
      </c>
      <c r="AA841" s="296" t="s">
        <v>21</v>
      </c>
      <c r="AB841" s="348" t="s">
        <v>483</v>
      </c>
      <c r="AC841" s="297">
        <v>120</v>
      </c>
      <c r="AD841" s="459">
        <v>13465.4</v>
      </c>
      <c r="AE841" s="428">
        <v>13465.4</v>
      </c>
      <c r="AF841" s="438">
        <v>13465.4</v>
      </c>
    </row>
    <row r="842" spans="24:32" s="3" customFormat="1" x14ac:dyDescent="0.25">
      <c r="X842" s="294" t="s">
        <v>269</v>
      </c>
      <c r="Y842" s="295" t="s">
        <v>409</v>
      </c>
      <c r="Z842" s="296" t="s">
        <v>7</v>
      </c>
      <c r="AA842" s="296" t="s">
        <v>21</v>
      </c>
      <c r="AB842" s="348" t="s">
        <v>484</v>
      </c>
      <c r="AC842" s="297"/>
      <c r="AD842" s="459">
        <f>AD843+AD845</f>
        <v>87.9</v>
      </c>
      <c r="AE842" s="459">
        <f>AE843+AE845</f>
        <v>187.9</v>
      </c>
      <c r="AF842" s="459">
        <f>AF843+AF845</f>
        <v>187.9</v>
      </c>
    </row>
    <row r="843" spans="24:32" s="3" customFormat="1" x14ac:dyDescent="0.25">
      <c r="X843" s="294" t="s">
        <v>118</v>
      </c>
      <c r="Y843" s="295" t="s">
        <v>409</v>
      </c>
      <c r="Z843" s="296" t="s">
        <v>7</v>
      </c>
      <c r="AA843" s="296" t="s">
        <v>21</v>
      </c>
      <c r="AB843" s="348" t="s">
        <v>484</v>
      </c>
      <c r="AC843" s="297">
        <v>200</v>
      </c>
      <c r="AD843" s="459">
        <f>AD844</f>
        <v>0</v>
      </c>
      <c r="AE843" s="428">
        <f>AE844</f>
        <v>187.9</v>
      </c>
      <c r="AF843" s="438">
        <f>AF844</f>
        <v>187.9</v>
      </c>
    </row>
    <row r="844" spans="24:32" s="3" customFormat="1" ht="31.5" x14ac:dyDescent="0.25">
      <c r="X844" s="294" t="s">
        <v>51</v>
      </c>
      <c r="Y844" s="295" t="s">
        <v>409</v>
      </c>
      <c r="Z844" s="296" t="s">
        <v>7</v>
      </c>
      <c r="AA844" s="296" t="s">
        <v>21</v>
      </c>
      <c r="AB844" s="348" t="s">
        <v>484</v>
      </c>
      <c r="AC844" s="297">
        <v>240</v>
      </c>
      <c r="AD844" s="459">
        <f>187.9-100-87.9</f>
        <v>0</v>
      </c>
      <c r="AE844" s="428">
        <v>187.9</v>
      </c>
      <c r="AF844" s="438">
        <v>187.9</v>
      </c>
    </row>
    <row r="845" spans="24:32" s="3" customFormat="1" x14ac:dyDescent="0.25">
      <c r="X845" s="294" t="s">
        <v>95</v>
      </c>
      <c r="Y845" s="295" t="s">
        <v>409</v>
      </c>
      <c r="Z845" s="296" t="s">
        <v>7</v>
      </c>
      <c r="AA845" s="296" t="s">
        <v>21</v>
      </c>
      <c r="AB845" s="348" t="s">
        <v>484</v>
      </c>
      <c r="AC845" s="297">
        <v>300</v>
      </c>
      <c r="AD845" s="459">
        <f>AD846</f>
        <v>87.9</v>
      </c>
      <c r="AE845" s="459">
        <f>AE846</f>
        <v>0</v>
      </c>
      <c r="AF845" s="459">
        <f>AF846</f>
        <v>0</v>
      </c>
    </row>
    <row r="846" spans="24:32" s="3" customFormat="1" x14ac:dyDescent="0.25">
      <c r="X846" s="294" t="s">
        <v>874</v>
      </c>
      <c r="Y846" s="295" t="s">
        <v>409</v>
      </c>
      <c r="Z846" s="296" t="s">
        <v>7</v>
      </c>
      <c r="AA846" s="296" t="s">
        <v>21</v>
      </c>
      <c r="AB846" s="348" t="s">
        <v>484</v>
      </c>
      <c r="AC846" s="297">
        <v>340</v>
      </c>
      <c r="AD846" s="459">
        <v>87.9</v>
      </c>
      <c r="AE846" s="428">
        <v>0</v>
      </c>
      <c r="AF846" s="438">
        <v>0</v>
      </c>
    </row>
    <row r="847" spans="24:32" s="3" customFormat="1" x14ac:dyDescent="0.25">
      <c r="X847" s="299" t="s">
        <v>290</v>
      </c>
      <c r="Y847" s="295" t="s">
        <v>409</v>
      </c>
      <c r="Z847" s="296" t="s">
        <v>7</v>
      </c>
      <c r="AA847" s="296" t="s">
        <v>21</v>
      </c>
      <c r="AB847" s="348" t="s">
        <v>107</v>
      </c>
      <c r="AC847" s="297"/>
      <c r="AD847" s="459">
        <f t="shared" ref="AD847:AF848" si="183">AD848</f>
        <v>4690.2</v>
      </c>
      <c r="AE847" s="428">
        <f t="shared" si="183"/>
        <v>4214</v>
      </c>
      <c r="AF847" s="438">
        <f t="shared" si="183"/>
        <v>4251</v>
      </c>
    </row>
    <row r="848" spans="24:32" s="3" customFormat="1" x14ac:dyDescent="0.25">
      <c r="X848" s="299" t="s">
        <v>294</v>
      </c>
      <c r="Y848" s="295" t="s">
        <v>409</v>
      </c>
      <c r="Z848" s="296" t="s">
        <v>7</v>
      </c>
      <c r="AA848" s="296" t="s">
        <v>21</v>
      </c>
      <c r="AB848" s="348" t="s">
        <v>108</v>
      </c>
      <c r="AC848" s="297"/>
      <c r="AD848" s="459">
        <f t="shared" si="183"/>
        <v>4690.2</v>
      </c>
      <c r="AE848" s="428">
        <f t="shared" si="183"/>
        <v>4214</v>
      </c>
      <c r="AF848" s="438">
        <f t="shared" si="183"/>
        <v>4251</v>
      </c>
    </row>
    <row r="849" spans="24:32" s="3" customFormat="1" x14ac:dyDescent="0.25">
      <c r="X849" s="307" t="s">
        <v>509</v>
      </c>
      <c r="Y849" s="295" t="s">
        <v>409</v>
      </c>
      <c r="Z849" s="296" t="s">
        <v>7</v>
      </c>
      <c r="AA849" s="296" t="s">
        <v>21</v>
      </c>
      <c r="AB849" s="348" t="s">
        <v>498</v>
      </c>
      <c r="AC849" s="297"/>
      <c r="AD849" s="459">
        <f>AD853+AD850</f>
        <v>4690.2</v>
      </c>
      <c r="AE849" s="428">
        <f>AE853</f>
        <v>4214</v>
      </c>
      <c r="AF849" s="438">
        <f>AF853</f>
        <v>4251</v>
      </c>
    </row>
    <row r="850" spans="24:32" s="3" customFormat="1" ht="47.25" x14ac:dyDescent="0.25">
      <c r="X850" s="453" t="s">
        <v>831</v>
      </c>
      <c r="Y850" s="295" t="s">
        <v>409</v>
      </c>
      <c r="Z850" s="296" t="s">
        <v>7</v>
      </c>
      <c r="AA850" s="296" t="s">
        <v>21</v>
      </c>
      <c r="AB850" s="348" t="s">
        <v>832</v>
      </c>
      <c r="AC850" s="297"/>
      <c r="AD850" s="459">
        <f t="shared" ref="AD850:AF851" si="184">AD851</f>
        <v>224.20000000000002</v>
      </c>
      <c r="AE850" s="459">
        <f t="shared" si="184"/>
        <v>0</v>
      </c>
      <c r="AF850" s="459">
        <f t="shared" si="184"/>
        <v>0</v>
      </c>
    </row>
    <row r="851" spans="24:32" s="3" customFormat="1" ht="31.5" x14ac:dyDescent="0.25">
      <c r="X851" s="294" t="s">
        <v>59</v>
      </c>
      <c r="Y851" s="295" t="s">
        <v>409</v>
      </c>
      <c r="Z851" s="296" t="s">
        <v>7</v>
      </c>
      <c r="AA851" s="296" t="s">
        <v>21</v>
      </c>
      <c r="AB851" s="348" t="s">
        <v>832</v>
      </c>
      <c r="AC851" s="297">
        <v>600</v>
      </c>
      <c r="AD851" s="459">
        <f t="shared" si="184"/>
        <v>224.20000000000002</v>
      </c>
      <c r="AE851" s="459">
        <f t="shared" si="184"/>
        <v>0</v>
      </c>
      <c r="AF851" s="459">
        <f t="shared" si="184"/>
        <v>0</v>
      </c>
    </row>
    <row r="852" spans="24:32" s="3" customFormat="1" x14ac:dyDescent="0.25">
      <c r="X852" s="294" t="s">
        <v>60</v>
      </c>
      <c r="Y852" s="295" t="s">
        <v>409</v>
      </c>
      <c r="Z852" s="296" t="s">
        <v>7</v>
      </c>
      <c r="AA852" s="296" t="s">
        <v>21</v>
      </c>
      <c r="AB852" s="348" t="s">
        <v>832</v>
      </c>
      <c r="AC852" s="297">
        <v>610</v>
      </c>
      <c r="AD852" s="459">
        <f>327.6-103.4</f>
        <v>224.20000000000002</v>
      </c>
      <c r="AE852" s="428">
        <v>0</v>
      </c>
      <c r="AF852" s="438">
        <v>0</v>
      </c>
    </row>
    <row r="853" spans="24:32" s="3" customFormat="1" x14ac:dyDescent="0.25">
      <c r="X853" s="307" t="s">
        <v>295</v>
      </c>
      <c r="Y853" s="295" t="s">
        <v>409</v>
      </c>
      <c r="Z853" s="296" t="s">
        <v>7</v>
      </c>
      <c r="AA853" s="296" t="s">
        <v>21</v>
      </c>
      <c r="AB853" s="348" t="s">
        <v>500</v>
      </c>
      <c r="AC853" s="297"/>
      <c r="AD853" s="459">
        <f>AD857+AD854</f>
        <v>4466</v>
      </c>
      <c r="AE853" s="428">
        <f>AE857+AE854</f>
        <v>4214</v>
      </c>
      <c r="AF853" s="438">
        <f>AF857+AF854</f>
        <v>4251</v>
      </c>
    </row>
    <row r="854" spans="24:32" s="3" customFormat="1" ht="47.25" x14ac:dyDescent="0.25">
      <c r="X854" s="307" t="s">
        <v>315</v>
      </c>
      <c r="Y854" s="295" t="s">
        <v>409</v>
      </c>
      <c r="Z854" s="296" t="s">
        <v>7</v>
      </c>
      <c r="AA854" s="296" t="s">
        <v>21</v>
      </c>
      <c r="AB854" s="348" t="s">
        <v>501</v>
      </c>
      <c r="AC854" s="297"/>
      <c r="AD854" s="459">
        <f t="shared" ref="AD854:AF855" si="185">AD855</f>
        <v>2843.5999999999995</v>
      </c>
      <c r="AE854" s="428">
        <f t="shared" si="185"/>
        <v>2144</v>
      </c>
      <c r="AF854" s="438">
        <f t="shared" si="185"/>
        <v>2171</v>
      </c>
    </row>
    <row r="855" spans="24:32" s="3" customFormat="1" ht="31.5" x14ac:dyDescent="0.25">
      <c r="X855" s="294" t="s">
        <v>59</v>
      </c>
      <c r="Y855" s="295" t="s">
        <v>409</v>
      </c>
      <c r="Z855" s="296" t="s">
        <v>7</v>
      </c>
      <c r="AA855" s="296" t="s">
        <v>21</v>
      </c>
      <c r="AB855" s="348" t="s">
        <v>501</v>
      </c>
      <c r="AC855" s="297">
        <v>600</v>
      </c>
      <c r="AD855" s="459">
        <f t="shared" si="185"/>
        <v>2843.5999999999995</v>
      </c>
      <c r="AE855" s="428">
        <f t="shared" si="185"/>
        <v>2144</v>
      </c>
      <c r="AF855" s="438">
        <f t="shared" si="185"/>
        <v>2171</v>
      </c>
    </row>
    <row r="856" spans="24:32" s="3" customFormat="1" x14ac:dyDescent="0.25">
      <c r="X856" s="294" t="s">
        <v>60</v>
      </c>
      <c r="Y856" s="295" t="s">
        <v>409</v>
      </c>
      <c r="Z856" s="296" t="s">
        <v>7</v>
      </c>
      <c r="AA856" s="296" t="s">
        <v>21</v>
      </c>
      <c r="AB856" s="348" t="s">
        <v>501</v>
      </c>
      <c r="AC856" s="297">
        <v>610</v>
      </c>
      <c r="AD856" s="459">
        <f>711+1345-824.4+487.6+337.2+0.6+191.8+268.2+136.2+190.4</f>
        <v>2843.5999999999995</v>
      </c>
      <c r="AE856" s="428">
        <f>1415+729</f>
        <v>2144</v>
      </c>
      <c r="AF856" s="438">
        <f>742+1429</f>
        <v>2171</v>
      </c>
    </row>
    <row r="857" spans="24:32" s="3" customFormat="1" ht="31.5" x14ac:dyDescent="0.25">
      <c r="X857" s="294" t="s">
        <v>316</v>
      </c>
      <c r="Y857" s="295" t="s">
        <v>409</v>
      </c>
      <c r="Z857" s="296" t="s">
        <v>7</v>
      </c>
      <c r="AA857" s="296" t="s">
        <v>21</v>
      </c>
      <c r="AB857" s="348" t="s">
        <v>502</v>
      </c>
      <c r="AC857" s="297"/>
      <c r="AD857" s="459">
        <f t="shared" ref="AD857:AF858" si="186">AD858</f>
        <v>1622.4</v>
      </c>
      <c r="AE857" s="428">
        <f t="shared" si="186"/>
        <v>2070</v>
      </c>
      <c r="AF857" s="438">
        <f t="shared" si="186"/>
        <v>2080</v>
      </c>
    </row>
    <row r="858" spans="24:32" s="3" customFormat="1" ht="31.5" x14ac:dyDescent="0.25">
      <c r="X858" s="294" t="s">
        <v>59</v>
      </c>
      <c r="Y858" s="295" t="s">
        <v>409</v>
      </c>
      <c r="Z858" s="296" t="s">
        <v>7</v>
      </c>
      <c r="AA858" s="296" t="s">
        <v>21</v>
      </c>
      <c r="AB858" s="348" t="s">
        <v>502</v>
      </c>
      <c r="AC858" s="297">
        <v>600</v>
      </c>
      <c r="AD858" s="459">
        <f t="shared" si="186"/>
        <v>1622.4</v>
      </c>
      <c r="AE858" s="428">
        <f t="shared" si="186"/>
        <v>2070</v>
      </c>
      <c r="AF858" s="438">
        <f>AF859</f>
        <v>2080</v>
      </c>
    </row>
    <row r="859" spans="24:32" s="3" customFormat="1" x14ac:dyDescent="0.25">
      <c r="X859" s="294" t="s">
        <v>60</v>
      </c>
      <c r="Y859" s="295" t="s">
        <v>409</v>
      </c>
      <c r="Z859" s="296" t="s">
        <v>7</v>
      </c>
      <c r="AA859" s="296" t="s">
        <v>21</v>
      </c>
      <c r="AB859" s="348" t="s">
        <v>502</v>
      </c>
      <c r="AC859" s="297">
        <v>610</v>
      </c>
      <c r="AD859" s="459">
        <f>1950+336.8-337.2-0.6-136.2-190.4</f>
        <v>1622.4</v>
      </c>
      <c r="AE859" s="428">
        <f>850+1220</f>
        <v>2070</v>
      </c>
      <c r="AF859" s="438">
        <f>850+1230</f>
        <v>2080</v>
      </c>
    </row>
    <row r="860" spans="24:32" s="3" customFormat="1" x14ac:dyDescent="0.25">
      <c r="X860" s="445" t="s">
        <v>92</v>
      </c>
      <c r="Y860" s="291" t="s">
        <v>409</v>
      </c>
      <c r="Z860" s="312" t="s">
        <v>35</v>
      </c>
      <c r="AA860" s="346"/>
      <c r="AB860" s="345"/>
      <c r="AC860" s="317"/>
      <c r="AD860" s="458">
        <f>AD861+AD868</f>
        <v>15351.9</v>
      </c>
      <c r="AE860" s="427">
        <f>AE861+AE868</f>
        <v>15062</v>
      </c>
      <c r="AF860" s="437">
        <f>AF861+AF868</f>
        <v>15062</v>
      </c>
    </row>
    <row r="861" spans="24:32" s="3" customFormat="1" x14ac:dyDescent="0.25">
      <c r="X861" s="294" t="s">
        <v>54</v>
      </c>
      <c r="Y861" s="295" t="s">
        <v>409</v>
      </c>
      <c r="Z861" s="296">
        <v>10</v>
      </c>
      <c r="AA861" s="296" t="s">
        <v>28</v>
      </c>
      <c r="AB861" s="347"/>
      <c r="AC861" s="293"/>
      <c r="AD861" s="459">
        <f t="shared" ref="AD861:AF866" si="187">AD862</f>
        <v>982</v>
      </c>
      <c r="AE861" s="428">
        <f t="shared" si="187"/>
        <v>982</v>
      </c>
      <c r="AF861" s="438">
        <f t="shared" si="187"/>
        <v>982</v>
      </c>
    </row>
    <row r="862" spans="24:32" s="3" customFormat="1" x14ac:dyDescent="0.25">
      <c r="X862" s="299" t="s">
        <v>290</v>
      </c>
      <c r="Y862" s="295" t="s">
        <v>409</v>
      </c>
      <c r="Z862" s="296">
        <v>10</v>
      </c>
      <c r="AA862" s="296" t="s">
        <v>28</v>
      </c>
      <c r="AB862" s="348" t="s">
        <v>107</v>
      </c>
      <c r="AC862" s="293"/>
      <c r="AD862" s="459">
        <f t="shared" si="187"/>
        <v>982</v>
      </c>
      <c r="AE862" s="428">
        <f t="shared" si="187"/>
        <v>982</v>
      </c>
      <c r="AF862" s="438">
        <f t="shared" si="187"/>
        <v>982</v>
      </c>
    </row>
    <row r="863" spans="24:32" s="3" customFormat="1" x14ac:dyDescent="0.25">
      <c r="X863" s="299" t="s">
        <v>291</v>
      </c>
      <c r="Y863" s="295" t="s">
        <v>409</v>
      </c>
      <c r="Z863" s="296">
        <v>10</v>
      </c>
      <c r="AA863" s="296" t="s">
        <v>28</v>
      </c>
      <c r="AB863" s="348" t="s">
        <v>116</v>
      </c>
      <c r="AC863" s="293"/>
      <c r="AD863" s="459">
        <f t="shared" si="187"/>
        <v>982</v>
      </c>
      <c r="AE863" s="428">
        <f t="shared" si="187"/>
        <v>982</v>
      </c>
      <c r="AF863" s="438">
        <f t="shared" si="187"/>
        <v>982</v>
      </c>
    </row>
    <row r="864" spans="24:32" s="3" customFormat="1" ht="31.5" x14ac:dyDescent="0.25">
      <c r="X864" s="299" t="s">
        <v>292</v>
      </c>
      <c r="Y864" s="295" t="s">
        <v>409</v>
      </c>
      <c r="Z864" s="296">
        <v>10</v>
      </c>
      <c r="AA864" s="296" t="s">
        <v>28</v>
      </c>
      <c r="AB864" s="348" t="s">
        <v>460</v>
      </c>
      <c r="AC864" s="293"/>
      <c r="AD864" s="459">
        <f t="shared" si="187"/>
        <v>982</v>
      </c>
      <c r="AE864" s="428">
        <f t="shared" si="187"/>
        <v>982</v>
      </c>
      <c r="AF864" s="438">
        <f t="shared" si="187"/>
        <v>982</v>
      </c>
    </row>
    <row r="865" spans="24:32" s="3" customFormat="1" ht="31.5" x14ac:dyDescent="0.25">
      <c r="X865" s="307" t="s">
        <v>293</v>
      </c>
      <c r="Y865" s="295" t="s">
        <v>409</v>
      </c>
      <c r="Z865" s="296">
        <v>10</v>
      </c>
      <c r="AA865" s="296" t="s">
        <v>28</v>
      </c>
      <c r="AB865" s="348" t="s">
        <v>459</v>
      </c>
      <c r="AC865" s="293"/>
      <c r="AD865" s="459">
        <f t="shared" si="187"/>
        <v>982</v>
      </c>
      <c r="AE865" s="428">
        <f t="shared" si="187"/>
        <v>982</v>
      </c>
      <c r="AF865" s="438">
        <f t="shared" si="187"/>
        <v>982</v>
      </c>
    </row>
    <row r="866" spans="24:32" s="3" customFormat="1" x14ac:dyDescent="0.25">
      <c r="X866" s="294" t="s">
        <v>95</v>
      </c>
      <c r="Y866" s="295" t="s">
        <v>409</v>
      </c>
      <c r="Z866" s="296">
        <v>10</v>
      </c>
      <c r="AA866" s="296" t="s">
        <v>28</v>
      </c>
      <c r="AB866" s="348" t="s">
        <v>459</v>
      </c>
      <c r="AC866" s="297">
        <v>300</v>
      </c>
      <c r="AD866" s="459">
        <f t="shared" si="187"/>
        <v>982</v>
      </c>
      <c r="AE866" s="428">
        <f t="shared" si="187"/>
        <v>982</v>
      </c>
      <c r="AF866" s="438">
        <f t="shared" si="187"/>
        <v>982</v>
      </c>
    </row>
    <row r="867" spans="24:32" s="3" customFormat="1" x14ac:dyDescent="0.25">
      <c r="X867" s="294" t="s">
        <v>39</v>
      </c>
      <c r="Y867" s="295" t="s">
        <v>409</v>
      </c>
      <c r="Z867" s="296">
        <v>10</v>
      </c>
      <c r="AA867" s="296" t="s">
        <v>28</v>
      </c>
      <c r="AB867" s="348" t="s">
        <v>459</v>
      </c>
      <c r="AC867" s="297">
        <v>320</v>
      </c>
      <c r="AD867" s="459">
        <v>982</v>
      </c>
      <c r="AE867" s="428">
        <v>982</v>
      </c>
      <c r="AF867" s="438">
        <v>982</v>
      </c>
    </row>
    <row r="868" spans="24:32" s="3" customFormat="1" x14ac:dyDescent="0.25">
      <c r="X868" s="294" t="s">
        <v>30</v>
      </c>
      <c r="Y868" s="295" t="s">
        <v>409</v>
      </c>
      <c r="Z868" s="296">
        <v>10</v>
      </c>
      <c r="AA868" s="296" t="s">
        <v>48</v>
      </c>
      <c r="AB868" s="348"/>
      <c r="AC868" s="297"/>
      <c r="AD868" s="459">
        <f>AD869</f>
        <v>14369.9</v>
      </c>
      <c r="AE868" s="428">
        <f>AE869</f>
        <v>14080</v>
      </c>
      <c r="AF868" s="438">
        <f>AF869</f>
        <v>14080</v>
      </c>
    </row>
    <row r="869" spans="24:32" s="3" customFormat="1" x14ac:dyDescent="0.25">
      <c r="X869" s="301" t="s">
        <v>260</v>
      </c>
      <c r="Y869" s="295" t="s">
        <v>409</v>
      </c>
      <c r="Z869" s="296">
        <v>10</v>
      </c>
      <c r="AA869" s="296" t="s">
        <v>48</v>
      </c>
      <c r="AB869" s="347" t="s">
        <v>98</v>
      </c>
      <c r="AC869" s="297"/>
      <c r="AD869" s="459">
        <f t="shared" ref="AD869:AF871" si="188">AD870</f>
        <v>14369.9</v>
      </c>
      <c r="AE869" s="428">
        <f t="shared" si="188"/>
        <v>14080</v>
      </c>
      <c r="AF869" s="438">
        <f t="shared" si="188"/>
        <v>14080</v>
      </c>
    </row>
    <row r="870" spans="24:32" s="3" customFormat="1" x14ac:dyDescent="0.25">
      <c r="X870" s="301" t="s">
        <v>511</v>
      </c>
      <c r="Y870" s="295" t="s">
        <v>409</v>
      </c>
      <c r="Z870" s="296">
        <v>10</v>
      </c>
      <c r="AA870" s="296" t="s">
        <v>48</v>
      </c>
      <c r="AB870" s="347" t="s">
        <v>115</v>
      </c>
      <c r="AC870" s="297"/>
      <c r="AD870" s="459">
        <f>AD871</f>
        <v>14369.9</v>
      </c>
      <c r="AE870" s="428">
        <f>AE871</f>
        <v>14080</v>
      </c>
      <c r="AF870" s="438">
        <f>AF871</f>
        <v>14080</v>
      </c>
    </row>
    <row r="871" spans="24:32" s="3" customFormat="1" ht="31.5" x14ac:dyDescent="0.25">
      <c r="X871" s="301" t="s">
        <v>264</v>
      </c>
      <c r="Y871" s="295" t="s">
        <v>409</v>
      </c>
      <c r="Z871" s="296">
        <v>10</v>
      </c>
      <c r="AA871" s="296" t="s">
        <v>48</v>
      </c>
      <c r="AB871" s="348" t="s">
        <v>442</v>
      </c>
      <c r="AC871" s="297"/>
      <c r="AD871" s="459">
        <f t="shared" si="188"/>
        <v>14369.9</v>
      </c>
      <c r="AE871" s="428">
        <f t="shared" si="188"/>
        <v>14080</v>
      </c>
      <c r="AF871" s="438">
        <f t="shared" si="188"/>
        <v>14080</v>
      </c>
    </row>
    <row r="872" spans="24:32" s="3" customFormat="1" ht="47.25" x14ac:dyDescent="0.25">
      <c r="X872" s="449" t="s">
        <v>261</v>
      </c>
      <c r="Y872" s="295" t="s">
        <v>409</v>
      </c>
      <c r="Z872" s="296">
        <v>10</v>
      </c>
      <c r="AA872" s="296" t="s">
        <v>48</v>
      </c>
      <c r="AB872" s="348" t="s">
        <v>462</v>
      </c>
      <c r="AC872" s="297"/>
      <c r="AD872" s="459">
        <f>AD875+AD873+AD877</f>
        <v>14369.9</v>
      </c>
      <c r="AE872" s="428">
        <f>AE875+AE873+AE877</f>
        <v>14080</v>
      </c>
      <c r="AF872" s="438">
        <f>AF875+AF873+AF877</f>
        <v>14080</v>
      </c>
    </row>
    <row r="873" spans="24:32" s="3" customFormat="1" x14ac:dyDescent="0.25">
      <c r="X873" s="294" t="s">
        <v>118</v>
      </c>
      <c r="Y873" s="295" t="s">
        <v>409</v>
      </c>
      <c r="Z873" s="296">
        <v>10</v>
      </c>
      <c r="AA873" s="296" t="s">
        <v>48</v>
      </c>
      <c r="AB873" s="348" t="s">
        <v>462</v>
      </c>
      <c r="AC873" s="297">
        <v>200</v>
      </c>
      <c r="AD873" s="459">
        <f>AD874</f>
        <v>139</v>
      </c>
      <c r="AE873" s="428">
        <f>AE874</f>
        <v>139</v>
      </c>
      <c r="AF873" s="438">
        <f>AF874</f>
        <v>139</v>
      </c>
    </row>
    <row r="874" spans="24:32" s="3" customFormat="1" ht="31.5" x14ac:dyDescent="0.25">
      <c r="X874" s="294" t="s">
        <v>51</v>
      </c>
      <c r="Y874" s="295" t="s">
        <v>409</v>
      </c>
      <c r="Z874" s="296">
        <v>10</v>
      </c>
      <c r="AA874" s="296" t="s">
        <v>48</v>
      </c>
      <c r="AB874" s="348" t="s">
        <v>462</v>
      </c>
      <c r="AC874" s="297">
        <v>240</v>
      </c>
      <c r="AD874" s="459">
        <v>139</v>
      </c>
      <c r="AE874" s="428">
        <v>139</v>
      </c>
      <c r="AF874" s="438">
        <v>139</v>
      </c>
    </row>
    <row r="875" spans="24:32" s="3" customFormat="1" x14ac:dyDescent="0.25">
      <c r="X875" s="294" t="s">
        <v>95</v>
      </c>
      <c r="Y875" s="295" t="s">
        <v>409</v>
      </c>
      <c r="Z875" s="296">
        <v>10</v>
      </c>
      <c r="AA875" s="296" t="s">
        <v>48</v>
      </c>
      <c r="AB875" s="348" t="s">
        <v>462</v>
      </c>
      <c r="AC875" s="297">
        <v>300</v>
      </c>
      <c r="AD875" s="459">
        <f>AD876</f>
        <v>13941</v>
      </c>
      <c r="AE875" s="428">
        <f>AE876</f>
        <v>13941</v>
      </c>
      <c r="AF875" s="438">
        <f>AF876</f>
        <v>13941</v>
      </c>
    </row>
    <row r="876" spans="24:32" s="3" customFormat="1" x14ac:dyDescent="0.25">
      <c r="X876" s="294" t="s">
        <v>129</v>
      </c>
      <c r="Y876" s="295" t="s">
        <v>409</v>
      </c>
      <c r="Z876" s="296">
        <v>10</v>
      </c>
      <c r="AA876" s="296" t="s">
        <v>48</v>
      </c>
      <c r="AB876" s="348" t="s">
        <v>462</v>
      </c>
      <c r="AC876" s="297">
        <v>310</v>
      </c>
      <c r="AD876" s="459">
        <v>13941</v>
      </c>
      <c r="AE876" s="428">
        <v>13941</v>
      </c>
      <c r="AF876" s="438">
        <v>13941</v>
      </c>
    </row>
    <row r="877" spans="24:32" s="3" customFormat="1" ht="31.5" x14ac:dyDescent="0.25">
      <c r="X877" s="294" t="s">
        <v>59</v>
      </c>
      <c r="Y877" s="295" t="s">
        <v>409</v>
      </c>
      <c r="Z877" s="296">
        <v>10</v>
      </c>
      <c r="AA877" s="296" t="s">
        <v>48</v>
      </c>
      <c r="AB877" s="348" t="s">
        <v>462</v>
      </c>
      <c r="AC877" s="297">
        <v>600</v>
      </c>
      <c r="AD877" s="459">
        <f>AD878</f>
        <v>289.89999999999998</v>
      </c>
      <c r="AE877" s="428">
        <f>AE878</f>
        <v>0</v>
      </c>
      <c r="AF877" s="438">
        <f>AF878</f>
        <v>0</v>
      </c>
    </row>
    <row r="878" spans="24:32" s="3" customFormat="1" x14ac:dyDescent="0.25">
      <c r="X878" s="294" t="s">
        <v>60</v>
      </c>
      <c r="Y878" s="295" t="s">
        <v>409</v>
      </c>
      <c r="Z878" s="296">
        <v>10</v>
      </c>
      <c r="AA878" s="296" t="s">
        <v>48</v>
      </c>
      <c r="AB878" s="348" t="s">
        <v>462</v>
      </c>
      <c r="AC878" s="297">
        <v>610</v>
      </c>
      <c r="AD878" s="459">
        <f>826-536.1</f>
        <v>289.89999999999998</v>
      </c>
      <c r="AE878" s="428">
        <f>826-826</f>
        <v>0</v>
      </c>
      <c r="AF878" s="438">
        <f>826-826</f>
        <v>0</v>
      </c>
    </row>
    <row r="879" spans="24:32" s="3" customFormat="1" ht="32.25" x14ac:dyDescent="0.3">
      <c r="X879" s="445" t="s">
        <v>410</v>
      </c>
      <c r="Y879" s="291" t="s">
        <v>411</v>
      </c>
      <c r="Z879" s="326"/>
      <c r="AA879" s="326"/>
      <c r="AB879" s="353"/>
      <c r="AC879" s="324"/>
      <c r="AD879" s="458">
        <f>AD893+AD929+AD1083+AD1072+AD1108+AD880</f>
        <v>2394459.7999999998</v>
      </c>
      <c r="AE879" s="427">
        <f>AE893+AE929+AE1083+AE1072+AE1108+AE880</f>
        <v>914656.19999999984</v>
      </c>
      <c r="AF879" s="437">
        <f>AF893+AF929+AF1083+AF1072+AF1108+AF880</f>
        <v>754263.9</v>
      </c>
    </row>
    <row r="880" spans="24:32" s="3" customFormat="1" ht="18.75" x14ac:dyDescent="0.3">
      <c r="X880" s="445" t="s">
        <v>24</v>
      </c>
      <c r="Y880" s="291" t="s">
        <v>411</v>
      </c>
      <c r="Z880" s="292" t="s">
        <v>28</v>
      </c>
      <c r="AA880" s="326"/>
      <c r="AB880" s="353"/>
      <c r="AC880" s="324"/>
      <c r="AD880" s="459">
        <f t="shared" ref="AD880:AD885" si="189">AD881</f>
        <v>1700</v>
      </c>
      <c r="AE880" s="428">
        <f>AE881</f>
        <v>2700</v>
      </c>
      <c r="AF880" s="438">
        <f>AF881</f>
        <v>200</v>
      </c>
    </row>
    <row r="881" spans="24:32" s="3" customFormat="1" ht="18.75" x14ac:dyDescent="0.3">
      <c r="X881" s="299" t="s">
        <v>184</v>
      </c>
      <c r="Y881" s="295" t="s">
        <v>411</v>
      </c>
      <c r="Z881" s="296" t="s">
        <v>28</v>
      </c>
      <c r="AA881" s="296">
        <v>13</v>
      </c>
      <c r="AB881" s="348" t="s">
        <v>110</v>
      </c>
      <c r="AC881" s="324"/>
      <c r="AD881" s="459">
        <f>AD882+AD887</f>
        <v>1700</v>
      </c>
      <c r="AE881" s="459">
        <f>AE882+AE887</f>
        <v>2700</v>
      </c>
      <c r="AF881" s="459">
        <f>AF882+AF887</f>
        <v>200</v>
      </c>
    </row>
    <row r="882" spans="24:32" s="3" customFormat="1" ht="18.75" x14ac:dyDescent="0.3">
      <c r="X882" s="451" t="s">
        <v>525</v>
      </c>
      <c r="Y882" s="295" t="s">
        <v>411</v>
      </c>
      <c r="Z882" s="296" t="s">
        <v>28</v>
      </c>
      <c r="AA882" s="296">
        <v>13</v>
      </c>
      <c r="AB882" s="348" t="s">
        <v>111</v>
      </c>
      <c r="AC882" s="324"/>
      <c r="AD882" s="459">
        <f t="shared" si="189"/>
        <v>1700</v>
      </c>
      <c r="AE882" s="428">
        <f t="shared" ref="AE882:AF885" si="190">AE883</f>
        <v>200</v>
      </c>
      <c r="AF882" s="438">
        <f t="shared" si="190"/>
        <v>200</v>
      </c>
    </row>
    <row r="883" spans="24:32" s="3" customFormat="1" ht="32.25" x14ac:dyDescent="0.3">
      <c r="X883" s="307" t="s">
        <v>180</v>
      </c>
      <c r="Y883" s="295" t="s">
        <v>411</v>
      </c>
      <c r="Z883" s="296" t="s">
        <v>28</v>
      </c>
      <c r="AA883" s="296">
        <v>13</v>
      </c>
      <c r="AB883" s="348" t="s">
        <v>181</v>
      </c>
      <c r="AC883" s="324"/>
      <c r="AD883" s="459">
        <f t="shared" si="189"/>
        <v>1700</v>
      </c>
      <c r="AE883" s="428">
        <f t="shared" si="190"/>
        <v>200</v>
      </c>
      <c r="AF883" s="438">
        <f t="shared" si="190"/>
        <v>200</v>
      </c>
    </row>
    <row r="884" spans="24:32" s="3" customFormat="1" ht="32.25" x14ac:dyDescent="0.3">
      <c r="X884" s="307" t="s">
        <v>756</v>
      </c>
      <c r="Y884" s="295" t="s">
        <v>411</v>
      </c>
      <c r="Z884" s="296" t="s">
        <v>28</v>
      </c>
      <c r="AA884" s="296">
        <v>13</v>
      </c>
      <c r="AB884" s="348" t="s">
        <v>183</v>
      </c>
      <c r="AC884" s="324"/>
      <c r="AD884" s="459">
        <f t="shared" si="189"/>
        <v>1700</v>
      </c>
      <c r="AE884" s="428">
        <f t="shared" si="190"/>
        <v>200</v>
      </c>
      <c r="AF884" s="438">
        <f t="shared" si="190"/>
        <v>200</v>
      </c>
    </row>
    <row r="885" spans="24:32" s="3" customFormat="1" x14ac:dyDescent="0.25">
      <c r="X885" s="294" t="s">
        <v>118</v>
      </c>
      <c r="Y885" s="295" t="s">
        <v>411</v>
      </c>
      <c r="Z885" s="296" t="s">
        <v>28</v>
      </c>
      <c r="AA885" s="296">
        <v>13</v>
      </c>
      <c r="AB885" s="348" t="s">
        <v>183</v>
      </c>
      <c r="AC885" s="297">
        <v>200</v>
      </c>
      <c r="AD885" s="459">
        <f t="shared" si="189"/>
        <v>1700</v>
      </c>
      <c r="AE885" s="428">
        <f t="shared" si="190"/>
        <v>200</v>
      </c>
      <c r="AF885" s="438">
        <f t="shared" si="190"/>
        <v>200</v>
      </c>
    </row>
    <row r="886" spans="24:32" s="3" customFormat="1" ht="31.5" x14ac:dyDescent="0.25">
      <c r="X886" s="294" t="s">
        <v>51</v>
      </c>
      <c r="Y886" s="295" t="s">
        <v>411</v>
      </c>
      <c r="Z886" s="296" t="s">
        <v>28</v>
      </c>
      <c r="AA886" s="296">
        <v>13</v>
      </c>
      <c r="AB886" s="348" t="s">
        <v>183</v>
      </c>
      <c r="AC886" s="297">
        <v>240</v>
      </c>
      <c r="AD886" s="459">
        <f>200+500+1000</f>
        <v>1700</v>
      </c>
      <c r="AE886" s="428">
        <v>200</v>
      </c>
      <c r="AF886" s="438">
        <v>200</v>
      </c>
    </row>
    <row r="887" spans="24:32" s="3" customFormat="1" x14ac:dyDescent="0.25">
      <c r="X887" s="299" t="s">
        <v>187</v>
      </c>
      <c r="Y887" s="295" t="s">
        <v>411</v>
      </c>
      <c r="Z887" s="296" t="s">
        <v>28</v>
      </c>
      <c r="AA887" s="296">
        <v>13</v>
      </c>
      <c r="AB887" s="348" t="s">
        <v>188</v>
      </c>
      <c r="AC887" s="297"/>
      <c r="AD887" s="459">
        <f t="shared" ref="AD887:AF888" si="191">AD888</f>
        <v>0</v>
      </c>
      <c r="AE887" s="459">
        <f t="shared" si="191"/>
        <v>2500</v>
      </c>
      <c r="AF887" s="459">
        <f t="shared" si="191"/>
        <v>0</v>
      </c>
    </row>
    <row r="888" spans="24:32" s="3" customFormat="1" ht="31.5" x14ac:dyDescent="0.25">
      <c r="X888" s="299" t="s">
        <v>189</v>
      </c>
      <c r="Y888" s="295" t="s">
        <v>411</v>
      </c>
      <c r="Z888" s="296" t="s">
        <v>28</v>
      </c>
      <c r="AA888" s="296">
        <v>13</v>
      </c>
      <c r="AB888" s="348" t="s">
        <v>190</v>
      </c>
      <c r="AC888" s="297"/>
      <c r="AD888" s="459">
        <f t="shared" si="191"/>
        <v>0</v>
      </c>
      <c r="AE888" s="459">
        <f t="shared" si="191"/>
        <v>2500</v>
      </c>
      <c r="AF888" s="459">
        <f t="shared" si="191"/>
        <v>0</v>
      </c>
    </row>
    <row r="889" spans="24:32" s="3" customFormat="1" x14ac:dyDescent="0.25">
      <c r="X889" s="299" t="s">
        <v>193</v>
      </c>
      <c r="Y889" s="295" t="s">
        <v>411</v>
      </c>
      <c r="Z889" s="296" t="s">
        <v>28</v>
      </c>
      <c r="AA889" s="296">
        <v>13</v>
      </c>
      <c r="AB889" s="348" t="s">
        <v>194</v>
      </c>
      <c r="AC889" s="297"/>
      <c r="AD889" s="459">
        <f>AD890</f>
        <v>0</v>
      </c>
      <c r="AE889" s="459">
        <f t="shared" ref="AE889:AF891" si="192">AE890</f>
        <v>2500</v>
      </c>
      <c r="AF889" s="459">
        <f t="shared" si="192"/>
        <v>0</v>
      </c>
    </row>
    <row r="890" spans="24:32" s="3" customFormat="1" ht="31.5" x14ac:dyDescent="0.25">
      <c r="X890" s="294" t="s">
        <v>195</v>
      </c>
      <c r="Y890" s="295" t="s">
        <v>411</v>
      </c>
      <c r="Z890" s="296" t="s">
        <v>28</v>
      </c>
      <c r="AA890" s="296">
        <v>13</v>
      </c>
      <c r="AB890" s="348" t="s">
        <v>196</v>
      </c>
      <c r="AC890" s="297"/>
      <c r="AD890" s="459">
        <f>AD891</f>
        <v>0</v>
      </c>
      <c r="AE890" s="459">
        <f t="shared" si="192"/>
        <v>2500</v>
      </c>
      <c r="AF890" s="459">
        <f t="shared" si="192"/>
        <v>0</v>
      </c>
    </row>
    <row r="891" spans="24:32" s="3" customFormat="1" x14ac:dyDescent="0.25">
      <c r="X891" s="294" t="s">
        <v>118</v>
      </c>
      <c r="Y891" s="295" t="s">
        <v>411</v>
      </c>
      <c r="Z891" s="296" t="s">
        <v>28</v>
      </c>
      <c r="AA891" s="296">
        <v>13</v>
      </c>
      <c r="AB891" s="348" t="s">
        <v>196</v>
      </c>
      <c r="AC891" s="297">
        <v>200</v>
      </c>
      <c r="AD891" s="459">
        <f>AD892</f>
        <v>0</v>
      </c>
      <c r="AE891" s="459">
        <f t="shared" si="192"/>
        <v>2500</v>
      </c>
      <c r="AF891" s="459">
        <f t="shared" si="192"/>
        <v>0</v>
      </c>
    </row>
    <row r="892" spans="24:32" s="3" customFormat="1" ht="31.5" x14ac:dyDescent="0.25">
      <c r="X892" s="294" t="s">
        <v>51</v>
      </c>
      <c r="Y892" s="295" t="s">
        <v>411</v>
      </c>
      <c r="Z892" s="296" t="s">
        <v>28</v>
      </c>
      <c r="AA892" s="296">
        <v>13</v>
      </c>
      <c r="AB892" s="348" t="s">
        <v>196</v>
      </c>
      <c r="AC892" s="297">
        <v>240</v>
      </c>
      <c r="AD892" s="459">
        <v>0</v>
      </c>
      <c r="AE892" s="428">
        <v>2500</v>
      </c>
      <c r="AF892" s="438">
        <v>0</v>
      </c>
    </row>
    <row r="893" spans="24:32" s="3" customFormat="1" ht="18.75" x14ac:dyDescent="0.3">
      <c r="X893" s="445" t="s">
        <v>44</v>
      </c>
      <c r="Y893" s="291" t="s">
        <v>411</v>
      </c>
      <c r="Z893" s="312" t="s">
        <v>48</v>
      </c>
      <c r="AA893" s="357"/>
      <c r="AB893" s="358"/>
      <c r="AC893" s="325"/>
      <c r="AD893" s="458">
        <f>AD894+AD903</f>
        <v>68526.3</v>
      </c>
      <c r="AE893" s="427">
        <f>AE894+AE903</f>
        <v>59154</v>
      </c>
      <c r="AF893" s="437">
        <f>AF894+AF903</f>
        <v>67016</v>
      </c>
    </row>
    <row r="894" spans="24:32" s="3" customFormat="1" ht="18.75" x14ac:dyDescent="0.3">
      <c r="X894" s="294" t="s">
        <v>14</v>
      </c>
      <c r="Y894" s="295" t="s">
        <v>411</v>
      </c>
      <c r="Z894" s="315" t="s">
        <v>48</v>
      </c>
      <c r="AA894" s="296" t="s">
        <v>4</v>
      </c>
      <c r="AB894" s="358"/>
      <c r="AC894" s="325"/>
      <c r="AD894" s="459">
        <f t="shared" ref="AD894:AF901" si="193">AD895</f>
        <v>919</v>
      </c>
      <c r="AE894" s="428">
        <f t="shared" si="193"/>
        <v>919</v>
      </c>
      <c r="AF894" s="438">
        <f t="shared" si="193"/>
        <v>919</v>
      </c>
    </row>
    <row r="895" spans="24:32" s="3" customFormat="1" ht="18.75" x14ac:dyDescent="0.3">
      <c r="X895" s="301" t="s">
        <v>236</v>
      </c>
      <c r="Y895" s="295" t="s">
        <v>411</v>
      </c>
      <c r="Z895" s="315" t="s">
        <v>48</v>
      </c>
      <c r="AA895" s="296" t="s">
        <v>4</v>
      </c>
      <c r="AB895" s="348" t="s">
        <v>136</v>
      </c>
      <c r="AC895" s="325"/>
      <c r="AD895" s="459">
        <f t="shared" si="193"/>
        <v>919</v>
      </c>
      <c r="AE895" s="428">
        <f t="shared" si="193"/>
        <v>919</v>
      </c>
      <c r="AF895" s="438">
        <f t="shared" si="193"/>
        <v>919</v>
      </c>
    </row>
    <row r="896" spans="24:32" s="3" customFormat="1" ht="31.5" x14ac:dyDescent="0.3">
      <c r="X896" s="448" t="s">
        <v>520</v>
      </c>
      <c r="Y896" s="295" t="s">
        <v>411</v>
      </c>
      <c r="Z896" s="315" t="s">
        <v>48</v>
      </c>
      <c r="AA896" s="296" t="s">
        <v>4</v>
      </c>
      <c r="AB896" s="348" t="s">
        <v>237</v>
      </c>
      <c r="AC896" s="325"/>
      <c r="AD896" s="459">
        <f t="shared" si="193"/>
        <v>919</v>
      </c>
      <c r="AE896" s="428">
        <f t="shared" si="193"/>
        <v>919</v>
      </c>
      <c r="AF896" s="438">
        <f t="shared" si="193"/>
        <v>919</v>
      </c>
    </row>
    <row r="897" spans="24:32" s="3" customFormat="1" ht="18.75" x14ac:dyDescent="0.3">
      <c r="X897" s="301" t="s">
        <v>521</v>
      </c>
      <c r="Y897" s="295" t="s">
        <v>411</v>
      </c>
      <c r="Z897" s="315" t="s">
        <v>48</v>
      </c>
      <c r="AA897" s="296" t="s">
        <v>4</v>
      </c>
      <c r="AB897" s="348" t="s">
        <v>238</v>
      </c>
      <c r="AC897" s="325"/>
      <c r="AD897" s="459">
        <f t="shared" si="193"/>
        <v>919</v>
      </c>
      <c r="AE897" s="428">
        <f t="shared" si="193"/>
        <v>919</v>
      </c>
      <c r="AF897" s="438">
        <f t="shared" si="193"/>
        <v>919</v>
      </c>
    </row>
    <row r="898" spans="24:32" s="3" customFormat="1" ht="31.5" x14ac:dyDescent="0.25">
      <c r="X898" s="301" t="s">
        <v>417</v>
      </c>
      <c r="Y898" s="295" t="s">
        <v>411</v>
      </c>
      <c r="Z898" s="315" t="s">
        <v>48</v>
      </c>
      <c r="AA898" s="296" t="s">
        <v>4</v>
      </c>
      <c r="AB898" s="348" t="s">
        <v>239</v>
      </c>
      <c r="AC898" s="297"/>
      <c r="AD898" s="459">
        <f>AD901+AD899</f>
        <v>919</v>
      </c>
      <c r="AE898" s="428">
        <f>AE901</f>
        <v>919</v>
      </c>
      <c r="AF898" s="438">
        <f>AF901</f>
        <v>919</v>
      </c>
    </row>
    <row r="899" spans="24:32" s="3" customFormat="1" ht="47.25" x14ac:dyDescent="0.25">
      <c r="X899" s="294" t="s">
        <v>40</v>
      </c>
      <c r="Y899" s="295" t="s">
        <v>411</v>
      </c>
      <c r="Z899" s="315" t="s">
        <v>48</v>
      </c>
      <c r="AA899" s="296" t="s">
        <v>4</v>
      </c>
      <c r="AB899" s="348" t="s">
        <v>239</v>
      </c>
      <c r="AC899" s="297">
        <v>100</v>
      </c>
      <c r="AD899" s="459">
        <f>AD900</f>
        <v>307</v>
      </c>
      <c r="AE899" s="459">
        <f>AE900</f>
        <v>0</v>
      </c>
      <c r="AF899" s="459">
        <f>AF900</f>
        <v>0</v>
      </c>
    </row>
    <row r="900" spans="24:32" s="3" customFormat="1" x14ac:dyDescent="0.25">
      <c r="X900" s="294" t="s">
        <v>94</v>
      </c>
      <c r="Y900" s="295" t="s">
        <v>411</v>
      </c>
      <c r="Z900" s="315" t="s">
        <v>48</v>
      </c>
      <c r="AA900" s="296" t="s">
        <v>4</v>
      </c>
      <c r="AB900" s="348" t="s">
        <v>239</v>
      </c>
      <c r="AC900" s="297">
        <v>120</v>
      </c>
      <c r="AD900" s="459">
        <v>307</v>
      </c>
      <c r="AE900" s="428">
        <v>0</v>
      </c>
      <c r="AF900" s="438">
        <v>0</v>
      </c>
    </row>
    <row r="901" spans="24:32" s="3" customFormat="1" x14ac:dyDescent="0.25">
      <c r="X901" s="294" t="s">
        <v>118</v>
      </c>
      <c r="Y901" s="295" t="s">
        <v>411</v>
      </c>
      <c r="Z901" s="315" t="s">
        <v>48</v>
      </c>
      <c r="AA901" s="296" t="s">
        <v>4</v>
      </c>
      <c r="AB901" s="348" t="s">
        <v>239</v>
      </c>
      <c r="AC901" s="323">
        <v>200</v>
      </c>
      <c r="AD901" s="459">
        <f t="shared" si="193"/>
        <v>612</v>
      </c>
      <c r="AE901" s="428">
        <f t="shared" si="193"/>
        <v>919</v>
      </c>
      <c r="AF901" s="438">
        <f t="shared" si="193"/>
        <v>919</v>
      </c>
    </row>
    <row r="902" spans="24:32" s="3" customFormat="1" ht="31.5" x14ac:dyDescent="0.25">
      <c r="X902" s="294" t="s">
        <v>51</v>
      </c>
      <c r="Y902" s="295" t="s">
        <v>411</v>
      </c>
      <c r="Z902" s="315" t="s">
        <v>48</v>
      </c>
      <c r="AA902" s="296" t="s">
        <v>4</v>
      </c>
      <c r="AB902" s="348" t="s">
        <v>239</v>
      </c>
      <c r="AC902" s="297">
        <v>240</v>
      </c>
      <c r="AD902" s="459">
        <f>919-307</f>
        <v>612</v>
      </c>
      <c r="AE902" s="428">
        <v>919</v>
      </c>
      <c r="AF902" s="438">
        <v>919</v>
      </c>
    </row>
    <row r="903" spans="24:32" s="3" customFormat="1" ht="18.75" x14ac:dyDescent="0.3">
      <c r="X903" s="294" t="s">
        <v>91</v>
      </c>
      <c r="Y903" s="295" t="s">
        <v>411</v>
      </c>
      <c r="Z903" s="296" t="s">
        <v>48</v>
      </c>
      <c r="AA903" s="296" t="s">
        <v>21</v>
      </c>
      <c r="AB903" s="353"/>
      <c r="AC903" s="324"/>
      <c r="AD903" s="459">
        <f>AD904+AD923</f>
        <v>67607.3</v>
      </c>
      <c r="AE903" s="428">
        <f>AE904+AE923</f>
        <v>58235</v>
      </c>
      <c r="AF903" s="438">
        <f>AF904+AF923</f>
        <v>66097</v>
      </c>
    </row>
    <row r="904" spans="24:32" s="3" customFormat="1" ht="31.5" x14ac:dyDescent="0.25">
      <c r="X904" s="299" t="s">
        <v>224</v>
      </c>
      <c r="Y904" s="295" t="s">
        <v>411</v>
      </c>
      <c r="Z904" s="296" t="s">
        <v>48</v>
      </c>
      <c r="AA904" s="296" t="s">
        <v>21</v>
      </c>
      <c r="AB904" s="348" t="s">
        <v>225</v>
      </c>
      <c r="AC904" s="297"/>
      <c r="AD904" s="459">
        <f>AD905+AD918+AD910</f>
        <v>60319.3</v>
      </c>
      <c r="AE904" s="459">
        <f>AE905+AE918+AE910</f>
        <v>50655</v>
      </c>
      <c r="AF904" s="459">
        <f>AF905+AF918+AF910</f>
        <v>58214</v>
      </c>
    </row>
    <row r="905" spans="24:32" s="3" customFormat="1" x14ac:dyDescent="0.25">
      <c r="X905" s="299" t="s">
        <v>229</v>
      </c>
      <c r="Y905" s="295" t="s">
        <v>411</v>
      </c>
      <c r="Z905" s="296" t="s">
        <v>48</v>
      </c>
      <c r="AA905" s="296" t="s">
        <v>21</v>
      </c>
      <c r="AB905" s="348" t="s">
        <v>230</v>
      </c>
      <c r="AC905" s="297"/>
      <c r="AD905" s="459">
        <f>AD914+AD906</f>
        <v>34033.300000000003</v>
      </c>
      <c r="AE905" s="459">
        <f>AE914+AE906</f>
        <v>39565</v>
      </c>
      <c r="AF905" s="459">
        <f>AF914+AF906</f>
        <v>41464</v>
      </c>
    </row>
    <row r="906" spans="24:32" s="3" customFormat="1" ht="35.25" customHeight="1" x14ac:dyDescent="0.25">
      <c r="X906" s="299" t="s">
        <v>863</v>
      </c>
      <c r="Y906" s="295" t="s">
        <v>411</v>
      </c>
      <c r="Z906" s="296" t="s">
        <v>48</v>
      </c>
      <c r="AA906" s="296" t="s">
        <v>21</v>
      </c>
      <c r="AB906" s="348" t="s">
        <v>862</v>
      </c>
      <c r="AC906" s="297"/>
      <c r="AD906" s="459">
        <f>AD907</f>
        <v>12000</v>
      </c>
      <c r="AE906" s="459">
        <f t="shared" ref="AE906:AF908" si="194">AE907</f>
        <v>0</v>
      </c>
      <c r="AF906" s="459">
        <f t="shared" si="194"/>
        <v>0</v>
      </c>
    </row>
    <row r="907" spans="24:32" s="3" customFormat="1" ht="30.75" customHeight="1" x14ac:dyDescent="0.25">
      <c r="X907" s="299" t="s">
        <v>864</v>
      </c>
      <c r="Y907" s="295" t="s">
        <v>411</v>
      </c>
      <c r="Z907" s="296" t="s">
        <v>48</v>
      </c>
      <c r="AA907" s="296" t="s">
        <v>21</v>
      </c>
      <c r="AB907" s="348" t="s">
        <v>865</v>
      </c>
      <c r="AC907" s="297"/>
      <c r="AD907" s="459">
        <f>AD908</f>
        <v>12000</v>
      </c>
      <c r="AE907" s="459">
        <f t="shared" si="194"/>
        <v>0</v>
      </c>
      <c r="AF907" s="459">
        <f t="shared" si="194"/>
        <v>0</v>
      </c>
    </row>
    <row r="908" spans="24:32" s="3" customFormat="1" x14ac:dyDescent="0.25">
      <c r="X908" s="294" t="s">
        <v>118</v>
      </c>
      <c r="Y908" s="295" t="s">
        <v>411</v>
      </c>
      <c r="Z908" s="296" t="s">
        <v>48</v>
      </c>
      <c r="AA908" s="296" t="s">
        <v>21</v>
      </c>
      <c r="AB908" s="348" t="s">
        <v>865</v>
      </c>
      <c r="AC908" s="323">
        <v>200</v>
      </c>
      <c r="AD908" s="459">
        <f>AD909</f>
        <v>12000</v>
      </c>
      <c r="AE908" s="459">
        <f t="shared" si="194"/>
        <v>0</v>
      </c>
      <c r="AF908" s="459">
        <f t="shared" si="194"/>
        <v>0</v>
      </c>
    </row>
    <row r="909" spans="24:32" s="3" customFormat="1" ht="31.5" x14ac:dyDescent="0.25">
      <c r="X909" s="294" t="s">
        <v>51</v>
      </c>
      <c r="Y909" s="295" t="s">
        <v>411</v>
      </c>
      <c r="Z909" s="296" t="s">
        <v>48</v>
      </c>
      <c r="AA909" s="296" t="s">
        <v>21</v>
      </c>
      <c r="AB909" s="348" t="s">
        <v>865</v>
      </c>
      <c r="AC909" s="297">
        <v>240</v>
      </c>
      <c r="AD909" s="459">
        <f>12000</f>
        <v>12000</v>
      </c>
      <c r="AE909" s="428">
        <v>0</v>
      </c>
      <c r="AF909" s="438">
        <v>0</v>
      </c>
    </row>
    <row r="910" spans="24:32" s="3" customFormat="1" ht="22.5" customHeight="1" x14ac:dyDescent="0.25">
      <c r="X910" s="294" t="s">
        <v>877</v>
      </c>
      <c r="Y910" s="295" t="s">
        <v>411</v>
      </c>
      <c r="Z910" s="296" t="s">
        <v>48</v>
      </c>
      <c r="AA910" s="296" t="s">
        <v>21</v>
      </c>
      <c r="AB910" s="348" t="s">
        <v>879</v>
      </c>
      <c r="AC910" s="297"/>
      <c r="AD910" s="459">
        <f>AD911</f>
        <v>0</v>
      </c>
      <c r="AE910" s="459">
        <f t="shared" ref="AE910:AF912" si="195">AE911</f>
        <v>2500</v>
      </c>
      <c r="AF910" s="459">
        <f t="shared" si="195"/>
        <v>0</v>
      </c>
    </row>
    <row r="911" spans="24:32" s="3" customFormat="1" ht="31.5" x14ac:dyDescent="0.25">
      <c r="X911" s="294" t="s">
        <v>878</v>
      </c>
      <c r="Y911" s="295" t="s">
        <v>411</v>
      </c>
      <c r="Z911" s="296" t="s">
        <v>48</v>
      </c>
      <c r="AA911" s="296" t="s">
        <v>21</v>
      </c>
      <c r="AB911" s="348" t="s">
        <v>880</v>
      </c>
      <c r="AC911" s="297"/>
      <c r="AD911" s="459">
        <f>AD912</f>
        <v>0</v>
      </c>
      <c r="AE911" s="459">
        <f t="shared" si="195"/>
        <v>2500</v>
      </c>
      <c r="AF911" s="459">
        <f t="shared" si="195"/>
        <v>0</v>
      </c>
    </row>
    <row r="912" spans="24:32" s="3" customFormat="1" ht="25.5" customHeight="1" x14ac:dyDescent="0.25">
      <c r="X912" s="294" t="s">
        <v>118</v>
      </c>
      <c r="Y912" s="295" t="s">
        <v>411</v>
      </c>
      <c r="Z912" s="296" t="s">
        <v>48</v>
      </c>
      <c r="AA912" s="296" t="s">
        <v>21</v>
      </c>
      <c r="AB912" s="348" t="s">
        <v>880</v>
      </c>
      <c r="AC912" s="323">
        <v>200</v>
      </c>
      <c r="AD912" s="459">
        <f>AD913</f>
        <v>0</v>
      </c>
      <c r="AE912" s="459">
        <f t="shared" si="195"/>
        <v>2500</v>
      </c>
      <c r="AF912" s="459">
        <f t="shared" si="195"/>
        <v>0</v>
      </c>
    </row>
    <row r="913" spans="24:32" s="3" customFormat="1" ht="31.5" x14ac:dyDescent="0.25">
      <c r="X913" s="294" t="s">
        <v>51</v>
      </c>
      <c r="Y913" s="295" t="s">
        <v>411</v>
      </c>
      <c r="Z913" s="296" t="s">
        <v>48</v>
      </c>
      <c r="AA913" s="296" t="s">
        <v>21</v>
      </c>
      <c r="AB913" s="348" t="s">
        <v>880</v>
      </c>
      <c r="AC913" s="297">
        <v>240</v>
      </c>
      <c r="AD913" s="459">
        <v>0</v>
      </c>
      <c r="AE913" s="428">
        <v>2500</v>
      </c>
      <c r="AF913" s="438">
        <v>0</v>
      </c>
    </row>
    <row r="914" spans="24:32" s="3" customFormat="1" ht="31.5" x14ac:dyDescent="0.25">
      <c r="X914" s="294" t="s">
        <v>699</v>
      </c>
      <c r="Y914" s="295" t="s">
        <v>411</v>
      </c>
      <c r="Z914" s="296" t="s">
        <v>48</v>
      </c>
      <c r="AA914" s="296" t="s">
        <v>21</v>
      </c>
      <c r="AB914" s="348" t="s">
        <v>497</v>
      </c>
      <c r="AC914" s="297"/>
      <c r="AD914" s="459">
        <f>AD915</f>
        <v>22033.3</v>
      </c>
      <c r="AE914" s="428">
        <f t="shared" ref="AE914:AF916" si="196">AE915</f>
        <v>39565</v>
      </c>
      <c r="AF914" s="438">
        <f t="shared" si="196"/>
        <v>41464</v>
      </c>
    </row>
    <row r="915" spans="24:32" s="3" customFormat="1" ht="31.5" x14ac:dyDescent="0.25">
      <c r="X915" s="294" t="s">
        <v>670</v>
      </c>
      <c r="Y915" s="295" t="s">
        <v>411</v>
      </c>
      <c r="Z915" s="296" t="s">
        <v>48</v>
      </c>
      <c r="AA915" s="296" t="s">
        <v>21</v>
      </c>
      <c r="AB915" s="348" t="s">
        <v>698</v>
      </c>
      <c r="AC915" s="297"/>
      <c r="AD915" s="459">
        <f>AD916</f>
        <v>22033.3</v>
      </c>
      <c r="AE915" s="428">
        <f t="shared" si="196"/>
        <v>39565</v>
      </c>
      <c r="AF915" s="438">
        <f t="shared" si="196"/>
        <v>41464</v>
      </c>
    </row>
    <row r="916" spans="24:32" s="3" customFormat="1" x14ac:dyDescent="0.25">
      <c r="X916" s="294" t="s">
        <v>118</v>
      </c>
      <c r="Y916" s="295" t="s">
        <v>411</v>
      </c>
      <c r="Z916" s="313" t="s">
        <v>48</v>
      </c>
      <c r="AA916" s="313" t="s">
        <v>21</v>
      </c>
      <c r="AB916" s="348" t="s">
        <v>698</v>
      </c>
      <c r="AC916" s="297">
        <v>200</v>
      </c>
      <c r="AD916" s="459">
        <f>AD917</f>
        <v>22033.3</v>
      </c>
      <c r="AE916" s="428">
        <f t="shared" si="196"/>
        <v>39565</v>
      </c>
      <c r="AF916" s="438">
        <f t="shared" si="196"/>
        <v>41464</v>
      </c>
    </row>
    <row r="917" spans="24:32" s="3" customFormat="1" ht="31.5" x14ac:dyDescent="0.25">
      <c r="X917" s="294" t="s">
        <v>51</v>
      </c>
      <c r="Y917" s="295" t="s">
        <v>411</v>
      </c>
      <c r="Z917" s="313" t="s">
        <v>48</v>
      </c>
      <c r="AA917" s="313" t="s">
        <v>21</v>
      </c>
      <c r="AB917" s="348" t="s">
        <v>698</v>
      </c>
      <c r="AC917" s="297">
        <v>240</v>
      </c>
      <c r="AD917" s="459">
        <f>24903+6000-6000-2869.7</f>
        <v>22033.3</v>
      </c>
      <c r="AE917" s="428">
        <f>26223+13342</f>
        <v>39565</v>
      </c>
      <c r="AF917" s="438">
        <f>27377+14087</f>
        <v>41464</v>
      </c>
    </row>
    <row r="918" spans="24:32" s="3" customFormat="1" x14ac:dyDescent="0.25">
      <c r="X918" s="307" t="s">
        <v>694</v>
      </c>
      <c r="Y918" s="295" t="s">
        <v>411</v>
      </c>
      <c r="Z918" s="313" t="s">
        <v>48</v>
      </c>
      <c r="AA918" s="313" t="s">
        <v>21</v>
      </c>
      <c r="AB918" s="348" t="s">
        <v>693</v>
      </c>
      <c r="AC918" s="297"/>
      <c r="AD918" s="459">
        <f t="shared" ref="AD918:AF920" si="197">AD919</f>
        <v>26286</v>
      </c>
      <c r="AE918" s="428">
        <f t="shared" si="197"/>
        <v>8590</v>
      </c>
      <c r="AF918" s="438">
        <f t="shared" si="197"/>
        <v>16750</v>
      </c>
    </row>
    <row r="919" spans="24:32" s="3" customFormat="1" x14ac:dyDescent="0.25">
      <c r="X919" s="294" t="s">
        <v>695</v>
      </c>
      <c r="Y919" s="295" t="s">
        <v>411</v>
      </c>
      <c r="Z919" s="313" t="s">
        <v>48</v>
      </c>
      <c r="AA919" s="313" t="s">
        <v>21</v>
      </c>
      <c r="AB919" s="348" t="s">
        <v>696</v>
      </c>
      <c r="AC919" s="297"/>
      <c r="AD919" s="459">
        <f t="shared" si="197"/>
        <v>26286</v>
      </c>
      <c r="AE919" s="428">
        <f t="shared" si="197"/>
        <v>8590</v>
      </c>
      <c r="AF919" s="438">
        <f t="shared" si="197"/>
        <v>16750</v>
      </c>
    </row>
    <row r="920" spans="24:32" s="3" customFormat="1" x14ac:dyDescent="0.25">
      <c r="X920" s="294" t="s">
        <v>340</v>
      </c>
      <c r="Y920" s="295" t="s">
        <v>411</v>
      </c>
      <c r="Z920" s="313" t="s">
        <v>48</v>
      </c>
      <c r="AA920" s="313" t="s">
        <v>21</v>
      </c>
      <c r="AB920" s="348" t="s">
        <v>697</v>
      </c>
      <c r="AC920" s="297"/>
      <c r="AD920" s="459">
        <f>AD921</f>
        <v>26286</v>
      </c>
      <c r="AE920" s="428">
        <f t="shared" si="197"/>
        <v>8590</v>
      </c>
      <c r="AF920" s="438">
        <f t="shared" si="197"/>
        <v>16750</v>
      </c>
    </row>
    <row r="921" spans="24:32" s="3" customFormat="1" x14ac:dyDescent="0.25">
      <c r="X921" s="294" t="s">
        <v>118</v>
      </c>
      <c r="Y921" s="295" t="s">
        <v>411</v>
      </c>
      <c r="Z921" s="313" t="s">
        <v>48</v>
      </c>
      <c r="AA921" s="313" t="s">
        <v>21</v>
      </c>
      <c r="AB921" s="348" t="s">
        <v>697</v>
      </c>
      <c r="AC921" s="297">
        <v>200</v>
      </c>
      <c r="AD921" s="459">
        <f>AD922</f>
        <v>26286</v>
      </c>
      <c r="AE921" s="428">
        <f>AE922</f>
        <v>8590</v>
      </c>
      <c r="AF921" s="438">
        <f>AF922</f>
        <v>16750</v>
      </c>
    </row>
    <row r="922" spans="24:32" s="3" customFormat="1" ht="31.5" x14ac:dyDescent="0.25">
      <c r="X922" s="294" t="s">
        <v>51</v>
      </c>
      <c r="Y922" s="295" t="s">
        <v>411</v>
      </c>
      <c r="Z922" s="313" t="s">
        <v>48</v>
      </c>
      <c r="AA922" s="313" t="s">
        <v>21</v>
      </c>
      <c r="AB922" s="348" t="s">
        <v>697</v>
      </c>
      <c r="AC922" s="297">
        <v>240</v>
      </c>
      <c r="AD922" s="459">
        <f>15486-6000+3300+3000+4200+1800+4500</f>
        <v>26286</v>
      </c>
      <c r="AE922" s="428">
        <f>16090-7500</f>
        <v>8590</v>
      </c>
      <c r="AF922" s="438">
        <v>16750</v>
      </c>
    </row>
    <row r="923" spans="24:32" s="3" customFormat="1" x14ac:dyDescent="0.25">
      <c r="X923" s="299" t="s">
        <v>240</v>
      </c>
      <c r="Y923" s="295" t="s">
        <v>411</v>
      </c>
      <c r="Z923" s="313" t="s">
        <v>48</v>
      </c>
      <c r="AA923" s="313" t="s">
        <v>21</v>
      </c>
      <c r="AB923" s="348" t="s">
        <v>241</v>
      </c>
      <c r="AC923" s="297"/>
      <c r="AD923" s="459">
        <f t="shared" ref="AD923:AF925" si="198">AD924</f>
        <v>7288</v>
      </c>
      <c r="AE923" s="428">
        <f t="shared" si="198"/>
        <v>7580</v>
      </c>
      <c r="AF923" s="438">
        <f t="shared" si="198"/>
        <v>7883</v>
      </c>
    </row>
    <row r="924" spans="24:32" s="3" customFormat="1" ht="31.5" x14ac:dyDescent="0.25">
      <c r="X924" s="451" t="s">
        <v>535</v>
      </c>
      <c r="Y924" s="295" t="s">
        <v>411</v>
      </c>
      <c r="Z924" s="313" t="s">
        <v>48</v>
      </c>
      <c r="AA924" s="313" t="s">
        <v>21</v>
      </c>
      <c r="AB924" s="348" t="s">
        <v>242</v>
      </c>
      <c r="AC924" s="314"/>
      <c r="AD924" s="459">
        <f t="shared" si="198"/>
        <v>7288</v>
      </c>
      <c r="AE924" s="428">
        <f t="shared" si="198"/>
        <v>7580</v>
      </c>
      <c r="AF924" s="438">
        <f t="shared" si="198"/>
        <v>7883</v>
      </c>
    </row>
    <row r="925" spans="24:32" s="3" customFormat="1" ht="31.5" x14ac:dyDescent="0.25">
      <c r="X925" s="307" t="s">
        <v>536</v>
      </c>
      <c r="Y925" s="295" t="s">
        <v>411</v>
      </c>
      <c r="Z925" s="313" t="s">
        <v>48</v>
      </c>
      <c r="AA925" s="313" t="s">
        <v>21</v>
      </c>
      <c r="AB925" s="348" t="s">
        <v>243</v>
      </c>
      <c r="AC925" s="297"/>
      <c r="AD925" s="459">
        <f t="shared" si="198"/>
        <v>7288</v>
      </c>
      <c r="AE925" s="428">
        <f t="shared" si="198"/>
        <v>7580</v>
      </c>
      <c r="AF925" s="438">
        <f t="shared" si="198"/>
        <v>7883</v>
      </c>
    </row>
    <row r="926" spans="24:32" s="3" customFormat="1" x14ac:dyDescent="0.25">
      <c r="X926" s="294" t="s">
        <v>436</v>
      </c>
      <c r="Y926" s="295" t="s">
        <v>411</v>
      </c>
      <c r="Z926" s="313" t="s">
        <v>48</v>
      </c>
      <c r="AA926" s="313" t="s">
        <v>21</v>
      </c>
      <c r="AB926" s="348" t="s">
        <v>692</v>
      </c>
      <c r="AC926" s="314"/>
      <c r="AD926" s="459">
        <f t="shared" ref="AD926:AF927" si="199">AD927</f>
        <v>7288</v>
      </c>
      <c r="AE926" s="428">
        <f t="shared" si="199"/>
        <v>7580</v>
      </c>
      <c r="AF926" s="438">
        <f t="shared" si="199"/>
        <v>7883</v>
      </c>
    </row>
    <row r="927" spans="24:32" s="3" customFormat="1" x14ac:dyDescent="0.25">
      <c r="X927" s="294" t="s">
        <v>118</v>
      </c>
      <c r="Y927" s="295" t="s">
        <v>411</v>
      </c>
      <c r="Z927" s="313" t="s">
        <v>48</v>
      </c>
      <c r="AA927" s="313" t="s">
        <v>21</v>
      </c>
      <c r="AB927" s="348" t="s">
        <v>692</v>
      </c>
      <c r="AC927" s="314" t="s">
        <v>36</v>
      </c>
      <c r="AD927" s="459">
        <f t="shared" si="199"/>
        <v>7288</v>
      </c>
      <c r="AE927" s="428">
        <f t="shared" si="199"/>
        <v>7580</v>
      </c>
      <c r="AF927" s="438">
        <f t="shared" si="199"/>
        <v>7883</v>
      </c>
    </row>
    <row r="928" spans="24:32" s="3" customFormat="1" ht="31.5" x14ac:dyDescent="0.25">
      <c r="X928" s="294" t="s">
        <v>51</v>
      </c>
      <c r="Y928" s="295" t="s">
        <v>411</v>
      </c>
      <c r="Z928" s="313" t="s">
        <v>48</v>
      </c>
      <c r="AA928" s="313" t="s">
        <v>21</v>
      </c>
      <c r="AB928" s="348" t="s">
        <v>692</v>
      </c>
      <c r="AC928" s="314" t="s">
        <v>64</v>
      </c>
      <c r="AD928" s="459">
        <v>7288</v>
      </c>
      <c r="AE928" s="428">
        <v>7580</v>
      </c>
      <c r="AF928" s="438">
        <v>7883</v>
      </c>
    </row>
    <row r="929" spans="24:32" s="3" customFormat="1" x14ac:dyDescent="0.25">
      <c r="X929" s="445" t="s">
        <v>2</v>
      </c>
      <c r="Y929" s="291" t="s">
        <v>411</v>
      </c>
      <c r="Z929" s="312" t="s">
        <v>4</v>
      </c>
      <c r="AA929" s="312"/>
      <c r="AB929" s="345"/>
      <c r="AC929" s="317"/>
      <c r="AD929" s="458">
        <f>AD993+AD1043+AD936+AD930</f>
        <v>1476547.7</v>
      </c>
      <c r="AE929" s="427">
        <f>AE993+AE1043+AE936+AE930</f>
        <v>819050.29999999981</v>
      </c>
      <c r="AF929" s="437">
        <f>AF993+AF1043+AF936+AF930</f>
        <v>655895.9</v>
      </c>
    </row>
    <row r="930" spans="24:32" s="3" customFormat="1" x14ac:dyDescent="0.25">
      <c r="X930" s="198" t="s">
        <v>630</v>
      </c>
      <c r="Y930" s="295" t="s">
        <v>411</v>
      </c>
      <c r="Z930" s="296" t="s">
        <v>4</v>
      </c>
      <c r="AA930" s="296" t="s">
        <v>28</v>
      </c>
      <c r="AB930" s="348" t="s">
        <v>620</v>
      </c>
      <c r="AC930" s="314"/>
      <c r="AD930" s="459">
        <f>AD931</f>
        <v>675.3</v>
      </c>
      <c r="AE930" s="428">
        <f t="shared" ref="AE930:AF933" si="200">AE931</f>
        <v>0</v>
      </c>
      <c r="AF930" s="438">
        <f t="shared" si="200"/>
        <v>0</v>
      </c>
    </row>
    <row r="931" spans="24:32" s="3" customFormat="1" ht="31.5" x14ac:dyDescent="0.25">
      <c r="X931" s="198" t="s">
        <v>712</v>
      </c>
      <c r="Y931" s="295" t="s">
        <v>411</v>
      </c>
      <c r="Z931" s="296" t="s">
        <v>4</v>
      </c>
      <c r="AA931" s="296" t="s">
        <v>28</v>
      </c>
      <c r="AB931" s="272" t="s">
        <v>713</v>
      </c>
      <c r="AC931" s="127"/>
      <c r="AD931" s="459">
        <f>AD932</f>
        <v>675.3</v>
      </c>
      <c r="AE931" s="428">
        <f t="shared" si="200"/>
        <v>0</v>
      </c>
      <c r="AF931" s="438">
        <f t="shared" si="200"/>
        <v>0</v>
      </c>
    </row>
    <row r="932" spans="24:32" s="3" customFormat="1" x14ac:dyDescent="0.25">
      <c r="X932" s="199" t="s">
        <v>714</v>
      </c>
      <c r="Y932" s="295" t="s">
        <v>411</v>
      </c>
      <c r="Z932" s="296" t="s">
        <v>4</v>
      </c>
      <c r="AA932" s="296" t="s">
        <v>28</v>
      </c>
      <c r="AB932" s="272" t="s">
        <v>715</v>
      </c>
      <c r="AC932" s="127"/>
      <c r="AD932" s="459">
        <f>AD933</f>
        <v>675.3</v>
      </c>
      <c r="AE932" s="428">
        <f t="shared" si="200"/>
        <v>0</v>
      </c>
      <c r="AF932" s="438">
        <f t="shared" si="200"/>
        <v>0</v>
      </c>
    </row>
    <row r="933" spans="24:32" s="3" customFormat="1" ht="31.5" x14ac:dyDescent="0.25">
      <c r="X933" s="199" t="s">
        <v>716</v>
      </c>
      <c r="Y933" s="295" t="s">
        <v>411</v>
      </c>
      <c r="Z933" s="296" t="s">
        <v>4</v>
      </c>
      <c r="AA933" s="296" t="s">
        <v>28</v>
      </c>
      <c r="AB933" s="272" t="s">
        <v>717</v>
      </c>
      <c r="AC933" s="127"/>
      <c r="AD933" s="459">
        <f>AD934</f>
        <v>675.3</v>
      </c>
      <c r="AE933" s="428">
        <f t="shared" si="200"/>
        <v>0</v>
      </c>
      <c r="AF933" s="438">
        <f t="shared" si="200"/>
        <v>0</v>
      </c>
    </row>
    <row r="934" spans="24:32" s="3" customFormat="1" x14ac:dyDescent="0.25">
      <c r="X934" s="198" t="s">
        <v>118</v>
      </c>
      <c r="Y934" s="295" t="s">
        <v>411</v>
      </c>
      <c r="Z934" s="296" t="s">
        <v>4</v>
      </c>
      <c r="AA934" s="296" t="s">
        <v>28</v>
      </c>
      <c r="AB934" s="272" t="s">
        <v>717</v>
      </c>
      <c r="AC934" s="127" t="s">
        <v>36</v>
      </c>
      <c r="AD934" s="459">
        <f>AD935</f>
        <v>675.3</v>
      </c>
      <c r="AE934" s="428">
        <f>AE935</f>
        <v>0</v>
      </c>
      <c r="AF934" s="438">
        <f>AF935</f>
        <v>0</v>
      </c>
    </row>
    <row r="935" spans="24:32" s="3" customFormat="1" ht="31.5" x14ac:dyDescent="0.25">
      <c r="X935" s="198" t="s">
        <v>51</v>
      </c>
      <c r="Y935" s="295" t="s">
        <v>411</v>
      </c>
      <c r="Z935" s="296" t="s">
        <v>4</v>
      </c>
      <c r="AA935" s="296" t="s">
        <v>28</v>
      </c>
      <c r="AB935" s="272" t="s">
        <v>717</v>
      </c>
      <c r="AC935" s="127" t="s">
        <v>64</v>
      </c>
      <c r="AD935" s="459">
        <f>3000-2210-114.7</f>
        <v>675.3</v>
      </c>
      <c r="AE935" s="428">
        <v>0</v>
      </c>
      <c r="AF935" s="438">
        <v>0</v>
      </c>
    </row>
    <row r="936" spans="24:32" s="3" customFormat="1" x14ac:dyDescent="0.25">
      <c r="X936" s="294" t="s">
        <v>321</v>
      </c>
      <c r="Y936" s="295" t="s">
        <v>411</v>
      </c>
      <c r="Z936" s="296" t="s">
        <v>4</v>
      </c>
      <c r="AA936" s="296" t="s">
        <v>29</v>
      </c>
      <c r="AB936" s="318"/>
      <c r="AC936" s="314"/>
      <c r="AD936" s="459">
        <f>AD937+AD987</f>
        <v>887748.20000000007</v>
      </c>
      <c r="AE936" s="428">
        <f>AE937+AE987</f>
        <v>669118.09999999986</v>
      </c>
      <c r="AF936" s="438">
        <f>AF937+AF987</f>
        <v>240743.3</v>
      </c>
    </row>
    <row r="937" spans="24:32" s="3" customFormat="1" ht="31.5" x14ac:dyDescent="0.25">
      <c r="X937" s="294" t="s">
        <v>576</v>
      </c>
      <c r="Y937" s="295" t="s">
        <v>411</v>
      </c>
      <c r="Z937" s="296" t="s">
        <v>4</v>
      </c>
      <c r="AA937" s="296" t="s">
        <v>29</v>
      </c>
      <c r="AB937" s="348" t="s">
        <v>109</v>
      </c>
      <c r="AC937" s="314"/>
      <c r="AD937" s="459">
        <f>AD943+AD982+AD938</f>
        <v>887155.10000000009</v>
      </c>
      <c r="AE937" s="459">
        <f>AE943+AE982+AE938</f>
        <v>667598.49999999988</v>
      </c>
      <c r="AF937" s="459">
        <f>AF943+AF982+AF938</f>
        <v>240743.3</v>
      </c>
    </row>
    <row r="938" spans="24:32" s="3" customFormat="1" x14ac:dyDescent="0.25">
      <c r="X938" s="294" t="s">
        <v>849</v>
      </c>
      <c r="Y938" s="295" t="s">
        <v>411</v>
      </c>
      <c r="Z938" s="296" t="s">
        <v>4</v>
      </c>
      <c r="AA938" s="296" t="s">
        <v>29</v>
      </c>
      <c r="AB938" s="348" t="s">
        <v>579</v>
      </c>
      <c r="AC938" s="314"/>
      <c r="AD938" s="459">
        <f t="shared" ref="AD938:AF941" si="201">AD939</f>
        <v>2500</v>
      </c>
      <c r="AE938" s="459">
        <f t="shared" si="201"/>
        <v>0</v>
      </c>
      <c r="AF938" s="459">
        <f t="shared" si="201"/>
        <v>0</v>
      </c>
    </row>
    <row r="939" spans="24:32" s="3" customFormat="1" ht="51.75" customHeight="1" x14ac:dyDescent="0.25">
      <c r="X939" s="294" t="s">
        <v>851</v>
      </c>
      <c r="Y939" s="295" t="s">
        <v>411</v>
      </c>
      <c r="Z939" s="296" t="s">
        <v>4</v>
      </c>
      <c r="AA939" s="296" t="s">
        <v>29</v>
      </c>
      <c r="AB939" s="348" t="s">
        <v>850</v>
      </c>
      <c r="AC939" s="314"/>
      <c r="AD939" s="459">
        <f t="shared" si="201"/>
        <v>2500</v>
      </c>
      <c r="AE939" s="459">
        <f t="shared" si="201"/>
        <v>0</v>
      </c>
      <c r="AF939" s="459">
        <f t="shared" si="201"/>
        <v>0</v>
      </c>
    </row>
    <row r="940" spans="24:32" s="3" customFormat="1" ht="47.25" x14ac:dyDescent="0.25">
      <c r="X940" s="294" t="s">
        <v>848</v>
      </c>
      <c r="Y940" s="295" t="s">
        <v>411</v>
      </c>
      <c r="Z940" s="296" t="s">
        <v>4</v>
      </c>
      <c r="AA940" s="296" t="s">
        <v>29</v>
      </c>
      <c r="AB940" s="348" t="s">
        <v>847</v>
      </c>
      <c r="AC940" s="314"/>
      <c r="AD940" s="459">
        <f t="shared" si="201"/>
        <v>2500</v>
      </c>
      <c r="AE940" s="459">
        <f t="shared" si="201"/>
        <v>0</v>
      </c>
      <c r="AF940" s="459">
        <f t="shared" si="201"/>
        <v>0</v>
      </c>
    </row>
    <row r="941" spans="24:32" s="3" customFormat="1" x14ac:dyDescent="0.25">
      <c r="X941" s="294" t="s">
        <v>118</v>
      </c>
      <c r="Y941" s="295" t="s">
        <v>411</v>
      </c>
      <c r="Z941" s="296" t="s">
        <v>4</v>
      </c>
      <c r="AA941" s="296" t="s">
        <v>29</v>
      </c>
      <c r="AB941" s="348" t="s">
        <v>847</v>
      </c>
      <c r="AC941" s="127" t="s">
        <v>36</v>
      </c>
      <c r="AD941" s="459">
        <f t="shared" si="201"/>
        <v>2500</v>
      </c>
      <c r="AE941" s="459">
        <f t="shared" si="201"/>
        <v>0</v>
      </c>
      <c r="AF941" s="459">
        <f t="shared" si="201"/>
        <v>0</v>
      </c>
    </row>
    <row r="942" spans="24:32" s="3" customFormat="1" ht="31.5" x14ac:dyDescent="0.25">
      <c r="X942" s="294" t="s">
        <v>51</v>
      </c>
      <c r="Y942" s="295" t="s">
        <v>411</v>
      </c>
      <c r="Z942" s="296" t="s">
        <v>4</v>
      </c>
      <c r="AA942" s="296" t="s">
        <v>29</v>
      </c>
      <c r="AB942" s="348" t="s">
        <v>847</v>
      </c>
      <c r="AC942" s="127" t="s">
        <v>64</v>
      </c>
      <c r="AD942" s="459">
        <v>2500</v>
      </c>
      <c r="AE942" s="428">
        <v>0</v>
      </c>
      <c r="AF942" s="438">
        <v>0</v>
      </c>
    </row>
    <row r="943" spans="24:32" s="3" customFormat="1" x14ac:dyDescent="0.25">
      <c r="X943" s="294" t="s">
        <v>524</v>
      </c>
      <c r="Y943" s="295" t="s">
        <v>411</v>
      </c>
      <c r="Z943" s="296" t="s">
        <v>4</v>
      </c>
      <c r="AA943" s="296" t="s">
        <v>29</v>
      </c>
      <c r="AB943" s="348" t="s">
        <v>384</v>
      </c>
      <c r="AC943" s="314"/>
      <c r="AD943" s="459">
        <f>AD944+AD968+AD978</f>
        <v>879381.3</v>
      </c>
      <c r="AE943" s="459">
        <f>AE944+AE968+AE978</f>
        <v>667598.49999999988</v>
      </c>
      <c r="AF943" s="459">
        <f>AF944+AF968+AF978</f>
        <v>240743.3</v>
      </c>
    </row>
    <row r="944" spans="24:32" s="3" customFormat="1" ht="31.5" x14ac:dyDescent="0.25">
      <c r="X944" s="294" t="s">
        <v>571</v>
      </c>
      <c r="Y944" s="295" t="s">
        <v>411</v>
      </c>
      <c r="Z944" s="296" t="s">
        <v>4</v>
      </c>
      <c r="AA944" s="296" t="s">
        <v>29</v>
      </c>
      <c r="AB944" s="359" t="s">
        <v>437</v>
      </c>
      <c r="AC944" s="314"/>
      <c r="AD944" s="459">
        <f>AD8230+AD962+AD949+AD952+AD965+AD945</f>
        <v>335775.9</v>
      </c>
      <c r="AE944" s="459">
        <f>AE8230+AE962+AE949+AE952+AE965+AE945</f>
        <v>602111.29999999993</v>
      </c>
      <c r="AF944" s="459">
        <f>AF8230+AF962+AF949+AF952+AF965+AF945</f>
        <v>240743.3</v>
      </c>
    </row>
    <row r="945" spans="24:32" s="3" customFormat="1" x14ac:dyDescent="0.25">
      <c r="X945" s="294" t="s">
        <v>544</v>
      </c>
      <c r="Y945" s="295" t="s">
        <v>411</v>
      </c>
      <c r="Z945" s="296" t="s">
        <v>4</v>
      </c>
      <c r="AA945" s="296" t="s">
        <v>29</v>
      </c>
      <c r="AB945" s="359" t="s">
        <v>637</v>
      </c>
      <c r="AC945" s="314"/>
      <c r="AD945" s="459">
        <f>AD946</f>
        <v>0</v>
      </c>
      <c r="AE945" s="428">
        <f>AE946</f>
        <v>85557</v>
      </c>
      <c r="AF945" s="438">
        <f>AF946</f>
        <v>0</v>
      </c>
    </row>
    <row r="946" spans="24:32" s="3" customFormat="1" ht="31.5" x14ac:dyDescent="0.25">
      <c r="X946" s="294" t="s">
        <v>885</v>
      </c>
      <c r="Y946" s="295" t="s">
        <v>411</v>
      </c>
      <c r="Z946" s="296" t="s">
        <v>4</v>
      </c>
      <c r="AA946" s="296" t="s">
        <v>29</v>
      </c>
      <c r="AB946" s="359" t="s">
        <v>886</v>
      </c>
      <c r="AC946" s="314"/>
      <c r="AD946" s="459">
        <f t="shared" ref="AD946:AF947" si="202">AD947</f>
        <v>0</v>
      </c>
      <c r="AE946" s="428">
        <f t="shared" si="202"/>
        <v>85557</v>
      </c>
      <c r="AF946" s="438">
        <f t="shared" si="202"/>
        <v>0</v>
      </c>
    </row>
    <row r="947" spans="24:32" s="3" customFormat="1" x14ac:dyDescent="0.25">
      <c r="X947" s="294" t="s">
        <v>412</v>
      </c>
      <c r="Y947" s="295" t="s">
        <v>411</v>
      </c>
      <c r="Z947" s="296" t="s">
        <v>4</v>
      </c>
      <c r="AA947" s="296" t="s">
        <v>29</v>
      </c>
      <c r="AB947" s="359" t="s">
        <v>886</v>
      </c>
      <c r="AC947" s="314" t="s">
        <v>152</v>
      </c>
      <c r="AD947" s="459">
        <f t="shared" si="202"/>
        <v>0</v>
      </c>
      <c r="AE947" s="428">
        <f t="shared" si="202"/>
        <v>85557</v>
      </c>
      <c r="AF947" s="438">
        <f t="shared" si="202"/>
        <v>0</v>
      </c>
    </row>
    <row r="948" spans="24:32" s="3" customFormat="1" x14ac:dyDescent="0.25">
      <c r="X948" s="294" t="s">
        <v>8</v>
      </c>
      <c r="Y948" s="295" t="s">
        <v>411</v>
      </c>
      <c r="Z948" s="296" t="s">
        <v>4</v>
      </c>
      <c r="AA948" s="296" t="s">
        <v>29</v>
      </c>
      <c r="AB948" s="359" t="s">
        <v>886</v>
      </c>
      <c r="AC948" s="314" t="s">
        <v>153</v>
      </c>
      <c r="AD948" s="459">
        <v>0</v>
      </c>
      <c r="AE948" s="428">
        <f>69985.6+15571.4</f>
        <v>85557</v>
      </c>
      <c r="AF948" s="438">
        <v>0</v>
      </c>
    </row>
    <row r="949" spans="24:32" s="3" customFormat="1" x14ac:dyDescent="0.25">
      <c r="X949" s="294" t="s">
        <v>544</v>
      </c>
      <c r="Y949" s="295" t="s">
        <v>411</v>
      </c>
      <c r="Z949" s="296" t="s">
        <v>4</v>
      </c>
      <c r="AA949" s="296" t="s">
        <v>29</v>
      </c>
      <c r="AB949" s="359" t="s">
        <v>828</v>
      </c>
      <c r="AC949" s="314"/>
      <c r="AD949" s="459">
        <f t="shared" ref="AD949:AF950" si="203">AD950</f>
        <v>29882.799999999981</v>
      </c>
      <c r="AE949" s="428">
        <f t="shared" si="203"/>
        <v>0</v>
      </c>
      <c r="AF949" s="438">
        <f t="shared" si="203"/>
        <v>0</v>
      </c>
    </row>
    <row r="950" spans="24:32" s="3" customFormat="1" x14ac:dyDescent="0.25">
      <c r="X950" s="294" t="s">
        <v>412</v>
      </c>
      <c r="Y950" s="295" t="s">
        <v>411</v>
      </c>
      <c r="Z950" s="296" t="s">
        <v>4</v>
      </c>
      <c r="AA950" s="296" t="s">
        <v>29</v>
      </c>
      <c r="AB950" s="359" t="s">
        <v>828</v>
      </c>
      <c r="AC950" s="314" t="s">
        <v>152</v>
      </c>
      <c r="AD950" s="459">
        <f t="shared" si="203"/>
        <v>29882.799999999981</v>
      </c>
      <c r="AE950" s="428">
        <f t="shared" si="203"/>
        <v>0</v>
      </c>
      <c r="AF950" s="438">
        <f t="shared" si="203"/>
        <v>0</v>
      </c>
    </row>
    <row r="951" spans="24:32" s="3" customFormat="1" x14ac:dyDescent="0.25">
      <c r="X951" s="294" t="s">
        <v>8</v>
      </c>
      <c r="Y951" s="295" t="s">
        <v>411</v>
      </c>
      <c r="Z951" s="296" t="s">
        <v>4</v>
      </c>
      <c r="AA951" s="296" t="s">
        <v>29</v>
      </c>
      <c r="AB951" s="359" t="s">
        <v>828</v>
      </c>
      <c r="AC951" s="314" t="s">
        <v>153</v>
      </c>
      <c r="AD951" s="459">
        <f>85487.4+19020.4+3114.7+7817.3-69985.6-15571.4</f>
        <v>29882.799999999981</v>
      </c>
      <c r="AE951" s="428">
        <v>0</v>
      </c>
      <c r="AF951" s="438">
        <v>0</v>
      </c>
    </row>
    <row r="952" spans="24:32" s="3" customFormat="1" ht="31.5" x14ac:dyDescent="0.25">
      <c r="X952" s="294" t="s">
        <v>643</v>
      </c>
      <c r="Y952" s="295" t="s">
        <v>411</v>
      </c>
      <c r="Z952" s="296" t="s">
        <v>4</v>
      </c>
      <c r="AA952" s="296" t="s">
        <v>29</v>
      </c>
      <c r="AB952" s="359" t="s">
        <v>642</v>
      </c>
      <c r="AC952" s="314"/>
      <c r="AD952" s="459">
        <f>AD953+AD956+AD959</f>
        <v>621.20000000000005</v>
      </c>
      <c r="AE952" s="459">
        <f>AE953+AE956+AE959</f>
        <v>295713.39999999997</v>
      </c>
      <c r="AF952" s="459">
        <f>AF953+AF956+AF959</f>
        <v>240743.3</v>
      </c>
    </row>
    <row r="953" spans="24:32" s="3" customFormat="1" ht="47.25" x14ac:dyDescent="0.25">
      <c r="X953" s="294" t="s">
        <v>702</v>
      </c>
      <c r="Y953" s="295" t="s">
        <v>411</v>
      </c>
      <c r="Z953" s="296" t="s">
        <v>4</v>
      </c>
      <c r="AA953" s="296" t="s">
        <v>29</v>
      </c>
      <c r="AB953" s="359" t="s">
        <v>700</v>
      </c>
      <c r="AC953" s="314"/>
      <c r="AD953" s="459">
        <f t="shared" ref="AD953:AF954" si="204">AD954</f>
        <v>0</v>
      </c>
      <c r="AE953" s="428">
        <f t="shared" si="204"/>
        <v>51481.299999999996</v>
      </c>
      <c r="AF953" s="438">
        <f t="shared" si="204"/>
        <v>120123</v>
      </c>
    </row>
    <row r="954" spans="24:32" s="3" customFormat="1" x14ac:dyDescent="0.25">
      <c r="X954" s="294" t="s">
        <v>412</v>
      </c>
      <c r="Y954" s="295" t="s">
        <v>411</v>
      </c>
      <c r="Z954" s="296" t="s">
        <v>4</v>
      </c>
      <c r="AA954" s="296" t="s">
        <v>29</v>
      </c>
      <c r="AB954" s="359" t="s">
        <v>700</v>
      </c>
      <c r="AC954" s="314" t="s">
        <v>152</v>
      </c>
      <c r="AD954" s="459">
        <f t="shared" si="204"/>
        <v>0</v>
      </c>
      <c r="AE954" s="428">
        <f t="shared" si="204"/>
        <v>51481.299999999996</v>
      </c>
      <c r="AF954" s="438">
        <f t="shared" si="204"/>
        <v>120123</v>
      </c>
    </row>
    <row r="955" spans="24:32" s="3" customFormat="1" x14ac:dyDescent="0.25">
      <c r="X955" s="294" t="s">
        <v>8</v>
      </c>
      <c r="Y955" s="295" t="s">
        <v>411</v>
      </c>
      <c r="Z955" s="296" t="s">
        <v>4</v>
      </c>
      <c r="AA955" s="296" t="s">
        <v>29</v>
      </c>
      <c r="AB955" s="359" t="s">
        <v>700</v>
      </c>
      <c r="AC955" s="314" t="s">
        <v>153</v>
      </c>
      <c r="AD955" s="459">
        <v>0</v>
      </c>
      <c r="AE955" s="428">
        <f>9369.6+42111.7</f>
        <v>51481.299999999996</v>
      </c>
      <c r="AF955" s="438">
        <f>21862.4+98260.6</f>
        <v>120123</v>
      </c>
    </row>
    <row r="956" spans="24:32" s="3" customFormat="1" ht="47.25" x14ac:dyDescent="0.25">
      <c r="X956" s="294" t="s">
        <v>703</v>
      </c>
      <c r="Y956" s="295" t="s">
        <v>411</v>
      </c>
      <c r="Z956" s="296" t="s">
        <v>4</v>
      </c>
      <c r="AA956" s="296" t="s">
        <v>29</v>
      </c>
      <c r="AB956" s="359" t="s">
        <v>701</v>
      </c>
      <c r="AC956" s="314"/>
      <c r="AD956" s="459">
        <f t="shared" ref="AD956:AF957" si="205">AD957</f>
        <v>0</v>
      </c>
      <c r="AE956" s="428">
        <f t="shared" si="205"/>
        <v>120620.29999999999</v>
      </c>
      <c r="AF956" s="438">
        <f t="shared" si="205"/>
        <v>120620.29999999999</v>
      </c>
    </row>
    <row r="957" spans="24:32" s="3" customFormat="1" x14ac:dyDescent="0.25">
      <c r="X957" s="294" t="s">
        <v>412</v>
      </c>
      <c r="Y957" s="295" t="s">
        <v>411</v>
      </c>
      <c r="Z957" s="296" t="s">
        <v>4</v>
      </c>
      <c r="AA957" s="296" t="s">
        <v>29</v>
      </c>
      <c r="AB957" s="359" t="s">
        <v>701</v>
      </c>
      <c r="AC957" s="314" t="s">
        <v>152</v>
      </c>
      <c r="AD957" s="459">
        <f t="shared" si="205"/>
        <v>0</v>
      </c>
      <c r="AE957" s="428">
        <f t="shared" si="205"/>
        <v>120620.29999999999</v>
      </c>
      <c r="AF957" s="438">
        <f t="shared" si="205"/>
        <v>120620.29999999999</v>
      </c>
    </row>
    <row r="958" spans="24:32" s="3" customFormat="1" x14ac:dyDescent="0.25">
      <c r="X958" s="294" t="s">
        <v>8</v>
      </c>
      <c r="Y958" s="295" t="s">
        <v>411</v>
      </c>
      <c r="Z958" s="296" t="s">
        <v>4</v>
      </c>
      <c r="AA958" s="296" t="s">
        <v>29</v>
      </c>
      <c r="AB958" s="359" t="s">
        <v>701</v>
      </c>
      <c r="AC958" s="314" t="s">
        <v>153</v>
      </c>
      <c r="AD958" s="459">
        <v>0</v>
      </c>
      <c r="AE958" s="428">
        <f>98667.4+21952.9</f>
        <v>120620.29999999999</v>
      </c>
      <c r="AF958" s="438">
        <f>98667.4+21952.9</f>
        <v>120620.29999999999</v>
      </c>
    </row>
    <row r="959" spans="24:32" s="3" customFormat="1" ht="54" customHeight="1" x14ac:dyDescent="0.25">
      <c r="X959" s="294" t="s">
        <v>819</v>
      </c>
      <c r="Y959" s="295" t="s">
        <v>411</v>
      </c>
      <c r="Z959" s="296" t="s">
        <v>4</v>
      </c>
      <c r="AA959" s="296" t="s">
        <v>29</v>
      </c>
      <c r="AB959" s="359" t="s">
        <v>820</v>
      </c>
      <c r="AC959" s="314"/>
      <c r="AD959" s="459">
        <f t="shared" ref="AD959:AF960" si="206">AD960</f>
        <v>621.20000000000005</v>
      </c>
      <c r="AE959" s="459">
        <f t="shared" si="206"/>
        <v>123611.8</v>
      </c>
      <c r="AF959" s="459">
        <f t="shared" si="206"/>
        <v>0</v>
      </c>
    </row>
    <row r="960" spans="24:32" s="3" customFormat="1" x14ac:dyDescent="0.25">
      <c r="X960" s="294" t="s">
        <v>412</v>
      </c>
      <c r="Y960" s="295" t="s">
        <v>411</v>
      </c>
      <c r="Z960" s="296" t="s">
        <v>4</v>
      </c>
      <c r="AA960" s="296" t="s">
        <v>29</v>
      </c>
      <c r="AB960" s="359" t="s">
        <v>820</v>
      </c>
      <c r="AC960" s="314" t="s">
        <v>152</v>
      </c>
      <c r="AD960" s="459">
        <f t="shared" si="206"/>
        <v>621.20000000000005</v>
      </c>
      <c r="AE960" s="459">
        <f t="shared" si="206"/>
        <v>123611.8</v>
      </c>
      <c r="AF960" s="459">
        <f t="shared" si="206"/>
        <v>0</v>
      </c>
    </row>
    <row r="961" spans="1:34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R961" s="3"/>
      <c r="S961" s="3"/>
      <c r="X961" s="294" t="s">
        <v>8</v>
      </c>
      <c r="Y961" s="295" t="s">
        <v>411</v>
      </c>
      <c r="Z961" s="296" t="s">
        <v>4</v>
      </c>
      <c r="AA961" s="296" t="s">
        <v>29</v>
      </c>
      <c r="AB961" s="359" t="s">
        <v>820</v>
      </c>
      <c r="AC961" s="314" t="s">
        <v>153</v>
      </c>
      <c r="AD961" s="459">
        <f>510+111.2</f>
        <v>621.20000000000005</v>
      </c>
      <c r="AE961" s="428">
        <f>101485.3+22126.5</f>
        <v>123611.8</v>
      </c>
      <c r="AF961" s="438">
        <v>0</v>
      </c>
      <c r="AG961" s="3"/>
      <c r="AH961" s="3"/>
    </row>
    <row r="962" spans="1:34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R962" s="3"/>
      <c r="S962" s="3"/>
      <c r="X962" s="294" t="s">
        <v>821</v>
      </c>
      <c r="Y962" s="295" t="s">
        <v>411</v>
      </c>
      <c r="Z962" s="296" t="s">
        <v>4</v>
      </c>
      <c r="AA962" s="296" t="s">
        <v>29</v>
      </c>
      <c r="AB962" s="359" t="s">
        <v>635</v>
      </c>
      <c r="AC962" s="314"/>
      <c r="AD962" s="459">
        <f t="shared" ref="AD962:AF963" si="207">AD963</f>
        <v>112639.70000000004</v>
      </c>
      <c r="AE962" s="428">
        <f t="shared" si="207"/>
        <v>220840.9</v>
      </c>
      <c r="AF962" s="438">
        <f t="shared" si="207"/>
        <v>0</v>
      </c>
      <c r="AG962" s="3"/>
      <c r="AH962" s="3"/>
    </row>
    <row r="963" spans="1:34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R963" s="3"/>
      <c r="S963" s="3"/>
      <c r="X963" s="294" t="s">
        <v>118</v>
      </c>
      <c r="Y963" s="295" t="s">
        <v>411</v>
      </c>
      <c r="Z963" s="296" t="s">
        <v>4</v>
      </c>
      <c r="AA963" s="296" t="s">
        <v>29</v>
      </c>
      <c r="AB963" s="359" t="s">
        <v>635</v>
      </c>
      <c r="AC963" s="314" t="s">
        <v>36</v>
      </c>
      <c r="AD963" s="459">
        <f t="shared" si="207"/>
        <v>112639.70000000004</v>
      </c>
      <c r="AE963" s="428">
        <f t="shared" si="207"/>
        <v>220840.9</v>
      </c>
      <c r="AF963" s="438">
        <f t="shared" si="207"/>
        <v>0</v>
      </c>
      <c r="AG963" s="3"/>
      <c r="AH963" s="3"/>
    </row>
    <row r="964" spans="1:34" ht="31.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R964" s="3"/>
      <c r="S964" s="3"/>
      <c r="X964" s="294" t="s">
        <v>51</v>
      </c>
      <c r="Y964" s="295" t="s">
        <v>411</v>
      </c>
      <c r="Z964" s="296" t="s">
        <v>4</v>
      </c>
      <c r="AA964" s="296" t="s">
        <v>29</v>
      </c>
      <c r="AB964" s="359" t="s">
        <v>635</v>
      </c>
      <c r="AC964" s="314" t="s">
        <v>64</v>
      </c>
      <c r="AD964" s="459">
        <f>249712.4+55559.5-35059.1-157573.1</f>
        <v>112639.70000000004</v>
      </c>
      <c r="AE964" s="429">
        <f>180647.8+40193.1</f>
        <v>220840.9</v>
      </c>
      <c r="AF964" s="441">
        <v>0</v>
      </c>
      <c r="AG964" s="3"/>
      <c r="AH964" s="3"/>
    </row>
    <row r="965" spans="1:34" ht="37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R965" s="3"/>
      <c r="S965" s="3"/>
      <c r="X965" s="294" t="s">
        <v>830</v>
      </c>
      <c r="Y965" s="295" t="s">
        <v>411</v>
      </c>
      <c r="Z965" s="296" t="s">
        <v>4</v>
      </c>
      <c r="AA965" s="296" t="s">
        <v>29</v>
      </c>
      <c r="AB965" s="359" t="s">
        <v>829</v>
      </c>
      <c r="AC965" s="314"/>
      <c r="AD965" s="459">
        <f t="shared" ref="AD965:AF966" si="208">AD966</f>
        <v>192632.2</v>
      </c>
      <c r="AE965" s="459">
        <f t="shared" si="208"/>
        <v>0</v>
      </c>
      <c r="AF965" s="459">
        <f t="shared" si="208"/>
        <v>0</v>
      </c>
      <c r="AG965" s="3"/>
      <c r="AH965" s="3"/>
    </row>
    <row r="966" spans="1:34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R966" s="3"/>
      <c r="S966" s="3"/>
      <c r="X966" s="294" t="s">
        <v>118</v>
      </c>
      <c r="Y966" s="295" t="s">
        <v>411</v>
      </c>
      <c r="Z966" s="296" t="s">
        <v>4</v>
      </c>
      <c r="AA966" s="296" t="s">
        <v>29</v>
      </c>
      <c r="AB966" s="359" t="s">
        <v>829</v>
      </c>
      <c r="AC966" s="314" t="s">
        <v>36</v>
      </c>
      <c r="AD966" s="459">
        <f t="shared" si="208"/>
        <v>192632.2</v>
      </c>
      <c r="AE966" s="459">
        <f t="shared" si="208"/>
        <v>0</v>
      </c>
      <c r="AF966" s="459">
        <f t="shared" si="208"/>
        <v>0</v>
      </c>
      <c r="AG966" s="3"/>
      <c r="AH966" s="3"/>
    </row>
    <row r="967" spans="1:34" ht="21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R967" s="3"/>
      <c r="S967" s="3"/>
      <c r="X967" s="294" t="s">
        <v>51</v>
      </c>
      <c r="Y967" s="295" t="s">
        <v>411</v>
      </c>
      <c r="Z967" s="296" t="s">
        <v>4</v>
      </c>
      <c r="AA967" s="296" t="s">
        <v>29</v>
      </c>
      <c r="AB967" s="359" t="s">
        <v>829</v>
      </c>
      <c r="AC967" s="314" t="s">
        <v>64</v>
      </c>
      <c r="AD967" s="459">
        <f>35059.1+157573.1</f>
        <v>192632.2</v>
      </c>
      <c r="AE967" s="429">
        <v>0</v>
      </c>
      <c r="AF967" s="441">
        <v>0</v>
      </c>
      <c r="AG967" s="3"/>
      <c r="AH967" s="3">
        <v>0</v>
      </c>
    </row>
    <row r="968" spans="1:34" ht="47.2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R968" s="3"/>
      <c r="S968" s="3"/>
      <c r="X968" s="294" t="s">
        <v>709</v>
      </c>
      <c r="Y968" s="295" t="s">
        <v>411</v>
      </c>
      <c r="Z968" s="296" t="s">
        <v>4</v>
      </c>
      <c r="AA968" s="296" t="s">
        <v>29</v>
      </c>
      <c r="AB968" s="348" t="s">
        <v>615</v>
      </c>
      <c r="AC968" s="314"/>
      <c r="AD968" s="459">
        <f>AD972+AD969+AD975</f>
        <v>542713.4</v>
      </c>
      <c r="AE968" s="428">
        <f>AE972</f>
        <v>62987.199999999997</v>
      </c>
      <c r="AF968" s="438">
        <f>AF972</f>
        <v>0</v>
      </c>
      <c r="AG968" s="3"/>
      <c r="AH968" s="3"/>
    </row>
    <row r="969" spans="1:34" ht="33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R969" s="3"/>
      <c r="S969" s="3"/>
      <c r="X969" s="294" t="s">
        <v>766</v>
      </c>
      <c r="Y969" s="295" t="s">
        <v>411</v>
      </c>
      <c r="Z969" s="296" t="s">
        <v>4</v>
      </c>
      <c r="AA969" s="296" t="s">
        <v>29</v>
      </c>
      <c r="AB969" s="348" t="s">
        <v>765</v>
      </c>
      <c r="AC969" s="314"/>
      <c r="AD969" s="459">
        <f t="shared" ref="AD969:AF970" si="209">AD970</f>
        <v>1508</v>
      </c>
      <c r="AE969" s="428">
        <f t="shared" si="209"/>
        <v>0</v>
      </c>
      <c r="AF969" s="438">
        <f t="shared" si="209"/>
        <v>0</v>
      </c>
      <c r="AG969" s="3"/>
      <c r="AH969" s="3"/>
    </row>
    <row r="970" spans="1:34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R970" s="3"/>
      <c r="S970" s="3"/>
      <c r="X970" s="294" t="s">
        <v>118</v>
      </c>
      <c r="Y970" s="295" t="s">
        <v>411</v>
      </c>
      <c r="Z970" s="296" t="s">
        <v>4</v>
      </c>
      <c r="AA970" s="296" t="s">
        <v>29</v>
      </c>
      <c r="AB970" s="348" t="s">
        <v>765</v>
      </c>
      <c r="AC970" s="314" t="s">
        <v>36</v>
      </c>
      <c r="AD970" s="459">
        <f t="shared" si="209"/>
        <v>1508</v>
      </c>
      <c r="AE970" s="428">
        <f t="shared" si="209"/>
        <v>0</v>
      </c>
      <c r="AF970" s="438">
        <f t="shared" si="209"/>
        <v>0</v>
      </c>
      <c r="AG970" s="3"/>
      <c r="AH970" s="3"/>
    </row>
    <row r="971" spans="1:34" ht="31.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R971" s="3"/>
      <c r="S971" s="3"/>
      <c r="X971" s="294" t="s">
        <v>51</v>
      </c>
      <c r="Y971" s="295" t="s">
        <v>411</v>
      </c>
      <c r="Z971" s="296" t="s">
        <v>4</v>
      </c>
      <c r="AA971" s="296" t="s">
        <v>29</v>
      </c>
      <c r="AB971" s="348" t="s">
        <v>765</v>
      </c>
      <c r="AC971" s="314" t="s">
        <v>64</v>
      </c>
      <c r="AD971" s="459">
        <f>1500+900-892</f>
        <v>1508</v>
      </c>
      <c r="AE971" s="428">
        <v>0</v>
      </c>
      <c r="AF971" s="438">
        <v>0</v>
      </c>
      <c r="AG971" s="3"/>
      <c r="AH971" s="3"/>
    </row>
    <row r="972" spans="1:34" ht="31.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R972" s="3"/>
      <c r="S972" s="3"/>
      <c r="X972" s="294" t="s">
        <v>629</v>
      </c>
      <c r="Y972" s="295" t="s">
        <v>411</v>
      </c>
      <c r="Z972" s="296" t="s">
        <v>4</v>
      </c>
      <c r="AA972" s="296" t="s">
        <v>29</v>
      </c>
      <c r="AB972" s="359" t="s">
        <v>636</v>
      </c>
      <c r="AC972" s="314"/>
      <c r="AD972" s="459">
        <f t="shared" ref="AD972:AF973" si="210">AD973</f>
        <v>61292.300000000061</v>
      </c>
      <c r="AE972" s="428">
        <f t="shared" si="210"/>
        <v>62987.199999999997</v>
      </c>
      <c r="AF972" s="438">
        <f t="shared" si="210"/>
        <v>0</v>
      </c>
      <c r="AG972" s="3"/>
      <c r="AH972" s="3"/>
    </row>
    <row r="973" spans="1:34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R973" s="3"/>
      <c r="S973" s="3"/>
      <c r="X973" s="294" t="s">
        <v>118</v>
      </c>
      <c r="Y973" s="295" t="s">
        <v>411</v>
      </c>
      <c r="Z973" s="296" t="s">
        <v>4</v>
      </c>
      <c r="AA973" s="296" t="s">
        <v>29</v>
      </c>
      <c r="AB973" s="359" t="s">
        <v>636</v>
      </c>
      <c r="AC973" s="314" t="s">
        <v>36</v>
      </c>
      <c r="AD973" s="459">
        <f t="shared" si="210"/>
        <v>61292.300000000061</v>
      </c>
      <c r="AE973" s="428">
        <f t="shared" si="210"/>
        <v>62987.199999999997</v>
      </c>
      <c r="AF973" s="438">
        <f t="shared" si="210"/>
        <v>0</v>
      </c>
      <c r="AG973" s="3"/>
      <c r="AH973" s="3"/>
    </row>
    <row r="974" spans="1:34" ht="31.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R974" s="3"/>
      <c r="S974" s="3"/>
      <c r="X974" s="294" t="s">
        <v>51</v>
      </c>
      <c r="Y974" s="295" t="s">
        <v>411</v>
      </c>
      <c r="Z974" s="296" t="s">
        <v>4</v>
      </c>
      <c r="AA974" s="296" t="s">
        <v>29</v>
      </c>
      <c r="AB974" s="359" t="s">
        <v>636</v>
      </c>
      <c r="AC974" s="314" t="s">
        <v>64</v>
      </c>
      <c r="AD974" s="459">
        <f>396736.7+88271.5+259.9+56.7-384783.8-85612+5089.1+1132.1+32836.3+7305.8</f>
        <v>61292.300000000061</v>
      </c>
      <c r="AE974" s="428">
        <f>51712.5+11274.7</f>
        <v>62987.199999999997</v>
      </c>
      <c r="AF974" s="438">
        <v>0</v>
      </c>
      <c r="AG974" s="3"/>
      <c r="AH974" s="3"/>
    </row>
    <row r="975" spans="1:34" ht="31.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R975" s="3"/>
      <c r="S975" s="3"/>
      <c r="X975" s="294" t="s">
        <v>833</v>
      </c>
      <c r="Y975" s="295" t="s">
        <v>411</v>
      </c>
      <c r="Z975" s="296" t="s">
        <v>4</v>
      </c>
      <c r="AA975" s="296" t="s">
        <v>29</v>
      </c>
      <c r="AB975" s="359" t="s">
        <v>834</v>
      </c>
      <c r="AC975" s="314"/>
      <c r="AD975" s="459">
        <f t="shared" ref="AD975:AF976" si="211">AD976</f>
        <v>479913.1</v>
      </c>
      <c r="AE975" s="459">
        <f t="shared" si="211"/>
        <v>0</v>
      </c>
      <c r="AF975" s="459">
        <f t="shared" si="211"/>
        <v>0</v>
      </c>
      <c r="AG975" s="3"/>
      <c r="AH975" s="3"/>
    </row>
    <row r="976" spans="1:34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R976" s="3"/>
      <c r="S976" s="3"/>
      <c r="X976" s="294" t="s">
        <v>118</v>
      </c>
      <c r="Y976" s="295" t="s">
        <v>411</v>
      </c>
      <c r="Z976" s="296" t="s">
        <v>4</v>
      </c>
      <c r="AA976" s="296" t="s">
        <v>29</v>
      </c>
      <c r="AB976" s="359" t="s">
        <v>834</v>
      </c>
      <c r="AC976" s="314" t="s">
        <v>36</v>
      </c>
      <c r="AD976" s="459">
        <f t="shared" si="211"/>
        <v>479913.1</v>
      </c>
      <c r="AE976" s="459">
        <f t="shared" si="211"/>
        <v>0</v>
      </c>
      <c r="AF976" s="459">
        <f t="shared" si="211"/>
        <v>0</v>
      </c>
      <c r="AG976" s="3"/>
      <c r="AH976" s="3"/>
    </row>
    <row r="977" spans="24:32" s="3" customFormat="1" ht="31.5" x14ac:dyDescent="0.25">
      <c r="X977" s="294" t="s">
        <v>51</v>
      </c>
      <c r="Y977" s="295" t="s">
        <v>411</v>
      </c>
      <c r="Z977" s="296" t="s">
        <v>4</v>
      </c>
      <c r="AA977" s="296" t="s">
        <v>29</v>
      </c>
      <c r="AB977" s="359" t="s">
        <v>834</v>
      </c>
      <c r="AC977" s="314" t="s">
        <v>64</v>
      </c>
      <c r="AD977" s="459">
        <f>384783.8+85612+7785.1+1732.2</f>
        <v>479913.1</v>
      </c>
      <c r="AE977" s="428">
        <v>0</v>
      </c>
      <c r="AF977" s="438">
        <v>0</v>
      </c>
    </row>
    <row r="978" spans="24:32" s="3" customFormat="1" ht="56.25" customHeight="1" x14ac:dyDescent="0.25">
      <c r="X978" s="294" t="s">
        <v>881</v>
      </c>
      <c r="Y978" s="295" t="s">
        <v>411</v>
      </c>
      <c r="Z978" s="296" t="s">
        <v>4</v>
      </c>
      <c r="AA978" s="296" t="s">
        <v>29</v>
      </c>
      <c r="AB978" s="348" t="s">
        <v>883</v>
      </c>
      <c r="AC978" s="314"/>
      <c r="AD978" s="459">
        <f>AD979</f>
        <v>892</v>
      </c>
      <c r="AE978" s="459">
        <f t="shared" ref="AE978:AF980" si="212">AE979</f>
        <v>2500</v>
      </c>
      <c r="AF978" s="459">
        <f t="shared" si="212"/>
        <v>0</v>
      </c>
    </row>
    <row r="979" spans="24:32" s="3" customFormat="1" ht="37.5" customHeight="1" x14ac:dyDescent="0.25">
      <c r="X979" s="294" t="s">
        <v>882</v>
      </c>
      <c r="Y979" s="295" t="s">
        <v>411</v>
      </c>
      <c r="Z979" s="296" t="s">
        <v>4</v>
      </c>
      <c r="AA979" s="296" t="s">
        <v>29</v>
      </c>
      <c r="AB979" s="348" t="s">
        <v>884</v>
      </c>
      <c r="AC979" s="314"/>
      <c r="AD979" s="459">
        <f>AD980</f>
        <v>892</v>
      </c>
      <c r="AE979" s="459">
        <f t="shared" si="212"/>
        <v>2500</v>
      </c>
      <c r="AF979" s="459">
        <f t="shared" si="212"/>
        <v>0</v>
      </c>
    </row>
    <row r="980" spans="24:32" s="3" customFormat="1" x14ac:dyDescent="0.25">
      <c r="X980" s="294" t="s">
        <v>118</v>
      </c>
      <c r="Y980" s="295" t="s">
        <v>411</v>
      </c>
      <c r="Z980" s="296" t="s">
        <v>4</v>
      </c>
      <c r="AA980" s="296" t="s">
        <v>29</v>
      </c>
      <c r="AB980" s="348" t="s">
        <v>884</v>
      </c>
      <c r="AC980" s="314" t="s">
        <v>36</v>
      </c>
      <c r="AD980" s="459">
        <f>AD981</f>
        <v>892</v>
      </c>
      <c r="AE980" s="459">
        <f t="shared" si="212"/>
        <v>2500</v>
      </c>
      <c r="AF980" s="459">
        <f t="shared" si="212"/>
        <v>0</v>
      </c>
    </row>
    <row r="981" spans="24:32" s="3" customFormat="1" ht="31.5" x14ac:dyDescent="0.25">
      <c r="X981" s="294" t="s">
        <v>51</v>
      </c>
      <c r="Y981" s="295" t="s">
        <v>411</v>
      </c>
      <c r="Z981" s="296" t="s">
        <v>4</v>
      </c>
      <c r="AA981" s="296" t="s">
        <v>29</v>
      </c>
      <c r="AB981" s="348" t="s">
        <v>884</v>
      </c>
      <c r="AC981" s="314" t="s">
        <v>64</v>
      </c>
      <c r="AD981" s="459">
        <v>892</v>
      </c>
      <c r="AE981" s="428">
        <v>2500</v>
      </c>
      <c r="AF981" s="438">
        <v>0</v>
      </c>
    </row>
    <row r="982" spans="24:32" s="3" customFormat="1" x14ac:dyDescent="0.25">
      <c r="X982" s="294" t="s">
        <v>654</v>
      </c>
      <c r="Y982" s="295" t="s">
        <v>411</v>
      </c>
      <c r="Z982" s="296" t="s">
        <v>4</v>
      </c>
      <c r="AA982" s="296" t="s">
        <v>29</v>
      </c>
      <c r="AB982" s="348" t="s">
        <v>655</v>
      </c>
      <c r="AC982" s="314"/>
      <c r="AD982" s="459">
        <f t="shared" ref="AD982:AF985" si="213">AD983</f>
        <v>5273.8</v>
      </c>
      <c r="AE982" s="428">
        <f t="shared" si="213"/>
        <v>0</v>
      </c>
      <c r="AF982" s="438">
        <f t="shared" si="213"/>
        <v>0</v>
      </c>
    </row>
    <row r="983" spans="24:32" s="3" customFormat="1" ht="31.5" x14ac:dyDescent="0.25">
      <c r="X983" s="294" t="s">
        <v>657</v>
      </c>
      <c r="Y983" s="295" t="s">
        <v>411</v>
      </c>
      <c r="Z983" s="296" t="s">
        <v>4</v>
      </c>
      <c r="AA983" s="296" t="s">
        <v>29</v>
      </c>
      <c r="AB983" s="348" t="s">
        <v>656</v>
      </c>
      <c r="AC983" s="314"/>
      <c r="AD983" s="459">
        <f t="shared" si="213"/>
        <v>5273.8</v>
      </c>
      <c r="AE983" s="459">
        <f t="shared" si="213"/>
        <v>0</v>
      </c>
      <c r="AF983" s="459">
        <f t="shared" si="213"/>
        <v>0</v>
      </c>
    </row>
    <row r="984" spans="24:32" s="3" customFormat="1" ht="30.75" customHeight="1" x14ac:dyDescent="0.25">
      <c r="X984" s="294" t="s">
        <v>826</v>
      </c>
      <c r="Y984" s="295" t="s">
        <v>411</v>
      </c>
      <c r="Z984" s="296" t="s">
        <v>4</v>
      </c>
      <c r="AA984" s="296" t="s">
        <v>29</v>
      </c>
      <c r="AB984" s="348" t="s">
        <v>827</v>
      </c>
      <c r="AC984" s="314"/>
      <c r="AD984" s="459">
        <f t="shared" si="213"/>
        <v>5273.8</v>
      </c>
      <c r="AE984" s="459">
        <f t="shared" si="213"/>
        <v>0</v>
      </c>
      <c r="AF984" s="459">
        <f t="shared" si="213"/>
        <v>0</v>
      </c>
    </row>
    <row r="985" spans="24:32" s="3" customFormat="1" x14ac:dyDescent="0.25">
      <c r="X985" s="294" t="s">
        <v>118</v>
      </c>
      <c r="Y985" s="295" t="s">
        <v>411</v>
      </c>
      <c r="Z985" s="296" t="s">
        <v>4</v>
      </c>
      <c r="AA985" s="296" t="s">
        <v>29</v>
      </c>
      <c r="AB985" s="348" t="s">
        <v>827</v>
      </c>
      <c r="AC985" s="314" t="s">
        <v>36</v>
      </c>
      <c r="AD985" s="459">
        <f t="shared" si="213"/>
        <v>5273.8</v>
      </c>
      <c r="AE985" s="459">
        <f t="shared" si="213"/>
        <v>0</v>
      </c>
      <c r="AF985" s="459">
        <f t="shared" si="213"/>
        <v>0</v>
      </c>
    </row>
    <row r="986" spans="24:32" s="3" customFormat="1" ht="31.5" x14ac:dyDescent="0.25">
      <c r="X986" s="294" t="s">
        <v>51</v>
      </c>
      <c r="Y986" s="295" t="s">
        <v>411</v>
      </c>
      <c r="Z986" s="296" t="s">
        <v>4</v>
      </c>
      <c r="AA986" s="296" t="s">
        <v>29</v>
      </c>
      <c r="AB986" s="348" t="s">
        <v>827</v>
      </c>
      <c r="AC986" s="314" t="s">
        <v>64</v>
      </c>
      <c r="AD986" s="459">
        <f>5500-226.2</f>
        <v>5273.8</v>
      </c>
      <c r="AE986" s="428">
        <v>0</v>
      </c>
      <c r="AF986" s="438">
        <v>0</v>
      </c>
    </row>
    <row r="987" spans="24:32" s="3" customFormat="1" x14ac:dyDescent="0.25">
      <c r="X987" s="299" t="s">
        <v>240</v>
      </c>
      <c r="Y987" s="295" t="s">
        <v>411</v>
      </c>
      <c r="Z987" s="296" t="s">
        <v>4</v>
      </c>
      <c r="AA987" s="296" t="s">
        <v>29</v>
      </c>
      <c r="AB987" s="348" t="s">
        <v>241</v>
      </c>
      <c r="AC987" s="314"/>
      <c r="AD987" s="459">
        <f>AD988</f>
        <v>593.1</v>
      </c>
      <c r="AE987" s="428">
        <f t="shared" ref="AE987:AF991" si="214">AE988</f>
        <v>1519.6</v>
      </c>
      <c r="AF987" s="438">
        <f t="shared" si="214"/>
        <v>0</v>
      </c>
    </row>
    <row r="988" spans="24:32" s="3" customFormat="1" ht="31.5" x14ac:dyDescent="0.25">
      <c r="X988" s="299" t="s">
        <v>535</v>
      </c>
      <c r="Y988" s="295" t="s">
        <v>411</v>
      </c>
      <c r="Z988" s="296" t="s">
        <v>4</v>
      </c>
      <c r="AA988" s="296" t="s">
        <v>29</v>
      </c>
      <c r="AB988" s="348" t="s">
        <v>242</v>
      </c>
      <c r="AC988" s="314"/>
      <c r="AD988" s="459">
        <f>AD989</f>
        <v>593.1</v>
      </c>
      <c r="AE988" s="428">
        <f t="shared" si="214"/>
        <v>1519.6</v>
      </c>
      <c r="AF988" s="438">
        <f t="shared" si="214"/>
        <v>0</v>
      </c>
    </row>
    <row r="989" spans="24:32" s="3" customFormat="1" ht="31.5" x14ac:dyDescent="0.25">
      <c r="X989" s="307" t="s">
        <v>536</v>
      </c>
      <c r="Y989" s="295" t="s">
        <v>411</v>
      </c>
      <c r="Z989" s="296" t="s">
        <v>4</v>
      </c>
      <c r="AA989" s="296" t="s">
        <v>29</v>
      </c>
      <c r="AB989" s="348" t="s">
        <v>243</v>
      </c>
      <c r="AC989" s="314"/>
      <c r="AD989" s="459">
        <f>AD990</f>
        <v>593.1</v>
      </c>
      <c r="AE989" s="428">
        <f>AE990</f>
        <v>1519.6</v>
      </c>
      <c r="AF989" s="438">
        <f>AF990</f>
        <v>0</v>
      </c>
    </row>
    <row r="990" spans="24:32" s="3" customFormat="1" x14ac:dyDescent="0.25">
      <c r="X990" s="294" t="s">
        <v>631</v>
      </c>
      <c r="Y990" s="295" t="s">
        <v>411</v>
      </c>
      <c r="Z990" s="296" t="s">
        <v>4</v>
      </c>
      <c r="AA990" s="296" t="s">
        <v>29</v>
      </c>
      <c r="AB990" s="348" t="s">
        <v>632</v>
      </c>
      <c r="AC990" s="314"/>
      <c r="AD990" s="459">
        <f>AD991</f>
        <v>593.1</v>
      </c>
      <c r="AE990" s="428">
        <f t="shared" si="214"/>
        <v>1519.6</v>
      </c>
      <c r="AF990" s="438">
        <f t="shared" si="214"/>
        <v>0</v>
      </c>
    </row>
    <row r="991" spans="24:32" s="3" customFormat="1" x14ac:dyDescent="0.25">
      <c r="X991" s="294" t="s">
        <v>118</v>
      </c>
      <c r="Y991" s="295" t="s">
        <v>411</v>
      </c>
      <c r="Z991" s="296" t="s">
        <v>4</v>
      </c>
      <c r="AA991" s="296" t="s">
        <v>29</v>
      </c>
      <c r="AB991" s="348" t="s">
        <v>632</v>
      </c>
      <c r="AC991" s="314" t="s">
        <v>36</v>
      </c>
      <c r="AD991" s="459">
        <f>AD992</f>
        <v>593.1</v>
      </c>
      <c r="AE991" s="428">
        <f t="shared" si="214"/>
        <v>1519.6</v>
      </c>
      <c r="AF991" s="438">
        <f t="shared" si="214"/>
        <v>0</v>
      </c>
    </row>
    <row r="992" spans="24:32" s="3" customFormat="1" ht="31.5" x14ac:dyDescent="0.25">
      <c r="X992" s="294" t="s">
        <v>51</v>
      </c>
      <c r="Y992" s="295" t="s">
        <v>411</v>
      </c>
      <c r="Z992" s="296" t="s">
        <v>4</v>
      </c>
      <c r="AA992" s="296" t="s">
        <v>29</v>
      </c>
      <c r="AB992" s="348" t="s">
        <v>632</v>
      </c>
      <c r="AC992" s="314" t="s">
        <v>64</v>
      </c>
      <c r="AD992" s="459">
        <f>485.1+108</f>
        <v>593.1</v>
      </c>
      <c r="AE992" s="501">
        <f>1247.6+272</f>
        <v>1519.6</v>
      </c>
      <c r="AF992" s="438">
        <v>0</v>
      </c>
    </row>
    <row r="993" spans="24:32" s="3" customFormat="1" x14ac:dyDescent="0.25">
      <c r="X993" s="294" t="s">
        <v>17</v>
      </c>
      <c r="Y993" s="295" t="s">
        <v>411</v>
      </c>
      <c r="Z993" s="296" t="s">
        <v>4</v>
      </c>
      <c r="AA993" s="296" t="s">
        <v>6</v>
      </c>
      <c r="AB993" s="347"/>
      <c r="AC993" s="314"/>
      <c r="AD993" s="459">
        <f>AD994</f>
        <v>557171.39999999991</v>
      </c>
      <c r="AE993" s="428">
        <f>AE994</f>
        <v>119722.4</v>
      </c>
      <c r="AF993" s="438">
        <f>AF994</f>
        <v>384937.2</v>
      </c>
    </row>
    <row r="994" spans="24:32" s="3" customFormat="1" x14ac:dyDescent="0.25">
      <c r="X994" s="299" t="s">
        <v>240</v>
      </c>
      <c r="Y994" s="295" t="s">
        <v>411</v>
      </c>
      <c r="Z994" s="296" t="s">
        <v>4</v>
      </c>
      <c r="AA994" s="296" t="s">
        <v>6</v>
      </c>
      <c r="AB994" s="348" t="s">
        <v>241</v>
      </c>
      <c r="AC994" s="314"/>
      <c r="AD994" s="459">
        <f>AD1019+AD995</f>
        <v>557171.39999999991</v>
      </c>
      <c r="AE994" s="428">
        <f>AE1019+AE995</f>
        <v>119722.4</v>
      </c>
      <c r="AF994" s="438">
        <f>AF1019+AF995</f>
        <v>384937.2</v>
      </c>
    </row>
    <row r="995" spans="24:32" s="3" customFormat="1" x14ac:dyDescent="0.25">
      <c r="X995" s="299" t="s">
        <v>365</v>
      </c>
      <c r="Y995" s="295" t="s">
        <v>411</v>
      </c>
      <c r="Z995" s="296" t="s">
        <v>4</v>
      </c>
      <c r="AA995" s="296" t="s">
        <v>6</v>
      </c>
      <c r="AB995" s="348" t="s">
        <v>366</v>
      </c>
      <c r="AC995" s="314"/>
      <c r="AD995" s="459">
        <f>AD996+AD1009</f>
        <v>422532.69999999995</v>
      </c>
      <c r="AE995" s="428">
        <f>AE996+AE1009</f>
        <v>16969.400000000001</v>
      </c>
      <c r="AF995" s="438">
        <f>AF996+AF1009</f>
        <v>242420</v>
      </c>
    </row>
    <row r="996" spans="24:32" s="3" customFormat="1" ht="31.5" x14ac:dyDescent="0.25">
      <c r="X996" s="299" t="s">
        <v>389</v>
      </c>
      <c r="Y996" s="295" t="s">
        <v>411</v>
      </c>
      <c r="Z996" s="296" t="s">
        <v>4</v>
      </c>
      <c r="AA996" s="296" t="s">
        <v>6</v>
      </c>
      <c r="AB996" s="348" t="s">
        <v>390</v>
      </c>
      <c r="AC996" s="314"/>
      <c r="AD996" s="459">
        <f>AD1006+AD1003+AD997+AD1000</f>
        <v>250719.19999999998</v>
      </c>
      <c r="AE996" s="459">
        <f>AE1006+AE1003+AE997+AE1000</f>
        <v>0</v>
      </c>
      <c r="AF996" s="459">
        <f>AF1006+AF1003+AF997+AF1000</f>
        <v>0</v>
      </c>
    </row>
    <row r="997" spans="24:32" s="3" customFormat="1" ht="41.25" customHeight="1" x14ac:dyDescent="0.25">
      <c r="X997" s="299" t="s">
        <v>793</v>
      </c>
      <c r="Y997" s="295" t="s">
        <v>411</v>
      </c>
      <c r="Z997" s="296" t="s">
        <v>4</v>
      </c>
      <c r="AA997" s="296" t="s">
        <v>6</v>
      </c>
      <c r="AB997" s="348" t="s">
        <v>794</v>
      </c>
      <c r="AC997" s="314"/>
      <c r="AD997" s="459">
        <f t="shared" ref="AD997:AF998" si="215">AD998</f>
        <v>487</v>
      </c>
      <c r="AE997" s="459">
        <f t="shared" si="215"/>
        <v>0</v>
      </c>
      <c r="AF997" s="459">
        <f t="shared" si="215"/>
        <v>0</v>
      </c>
    </row>
    <row r="998" spans="24:32" s="3" customFormat="1" x14ac:dyDescent="0.25">
      <c r="X998" s="294" t="s">
        <v>118</v>
      </c>
      <c r="Y998" s="295" t="s">
        <v>411</v>
      </c>
      <c r="Z998" s="296" t="s">
        <v>4</v>
      </c>
      <c r="AA998" s="296" t="s">
        <v>6</v>
      </c>
      <c r="AB998" s="348" t="s">
        <v>794</v>
      </c>
      <c r="AC998" s="314" t="s">
        <v>36</v>
      </c>
      <c r="AD998" s="459">
        <f t="shared" si="215"/>
        <v>487</v>
      </c>
      <c r="AE998" s="459">
        <f t="shared" si="215"/>
        <v>0</v>
      </c>
      <c r="AF998" s="459">
        <f t="shared" si="215"/>
        <v>0</v>
      </c>
    </row>
    <row r="999" spans="24:32" s="3" customFormat="1" ht="31.5" x14ac:dyDescent="0.25">
      <c r="X999" s="294" t="s">
        <v>51</v>
      </c>
      <c r="Y999" s="295" t="s">
        <v>411</v>
      </c>
      <c r="Z999" s="296" t="s">
        <v>4</v>
      </c>
      <c r="AA999" s="296" t="s">
        <v>6</v>
      </c>
      <c r="AB999" s="348" t="s">
        <v>794</v>
      </c>
      <c r="AC999" s="314" t="s">
        <v>64</v>
      </c>
      <c r="AD999" s="459">
        <f>12113.7+337+150-12113.7</f>
        <v>487</v>
      </c>
      <c r="AE999" s="459">
        <v>0</v>
      </c>
      <c r="AF999" s="489">
        <v>0</v>
      </c>
    </row>
    <row r="1000" spans="24:32" s="3" customFormat="1" x14ac:dyDescent="0.25">
      <c r="X1000" s="294" t="s">
        <v>813</v>
      </c>
      <c r="Y1000" s="295" t="s">
        <v>411</v>
      </c>
      <c r="Z1000" s="296" t="s">
        <v>4</v>
      </c>
      <c r="AA1000" s="296" t="s">
        <v>6</v>
      </c>
      <c r="AB1000" s="348" t="s">
        <v>814</v>
      </c>
      <c r="AC1000" s="297"/>
      <c r="AD1000" s="459">
        <f t="shared" ref="AD1000:AF1001" si="216">AD1001</f>
        <v>14734.3</v>
      </c>
      <c r="AE1000" s="459">
        <f t="shared" si="216"/>
        <v>0</v>
      </c>
      <c r="AF1000" s="459">
        <f t="shared" si="216"/>
        <v>0</v>
      </c>
    </row>
    <row r="1001" spans="24:32" s="3" customFormat="1" x14ac:dyDescent="0.25">
      <c r="X1001" s="294" t="s">
        <v>118</v>
      </c>
      <c r="Y1001" s="295" t="s">
        <v>411</v>
      </c>
      <c r="Z1001" s="296" t="s">
        <v>4</v>
      </c>
      <c r="AA1001" s="296" t="s">
        <v>6</v>
      </c>
      <c r="AB1001" s="348" t="s">
        <v>814</v>
      </c>
      <c r="AC1001" s="323">
        <v>200</v>
      </c>
      <c r="AD1001" s="459">
        <f t="shared" si="216"/>
        <v>14734.3</v>
      </c>
      <c r="AE1001" s="459">
        <f t="shared" si="216"/>
        <v>0</v>
      </c>
      <c r="AF1001" s="459">
        <f t="shared" si="216"/>
        <v>0</v>
      </c>
    </row>
    <row r="1002" spans="24:32" s="3" customFormat="1" ht="31.5" x14ac:dyDescent="0.25">
      <c r="X1002" s="294" t="s">
        <v>51</v>
      </c>
      <c r="Y1002" s="295" t="s">
        <v>411</v>
      </c>
      <c r="Z1002" s="296" t="s">
        <v>4</v>
      </c>
      <c r="AA1002" s="296" t="s">
        <v>6</v>
      </c>
      <c r="AB1002" s="348" t="s">
        <v>814</v>
      </c>
      <c r="AC1002" s="297">
        <v>240</v>
      </c>
      <c r="AD1002" s="459">
        <v>14734.3</v>
      </c>
      <c r="AE1002" s="459">
        <v>0</v>
      </c>
      <c r="AF1002" s="489">
        <v>0</v>
      </c>
    </row>
    <row r="1003" spans="24:32" s="3" customFormat="1" x14ac:dyDescent="0.25">
      <c r="X1003" s="294" t="s">
        <v>738</v>
      </c>
      <c r="Y1003" s="295" t="s">
        <v>411</v>
      </c>
      <c r="Z1003" s="296" t="s">
        <v>4</v>
      </c>
      <c r="AA1003" s="296" t="s">
        <v>6</v>
      </c>
      <c r="AB1003" s="348" t="s">
        <v>739</v>
      </c>
      <c r="AC1003" s="314"/>
      <c r="AD1003" s="459">
        <f t="shared" ref="AD1003:AF1004" si="217">AD1004</f>
        <v>30471.4</v>
      </c>
      <c r="AE1003" s="428">
        <f t="shared" si="217"/>
        <v>0</v>
      </c>
      <c r="AF1003" s="438">
        <f t="shared" si="217"/>
        <v>0</v>
      </c>
    </row>
    <row r="1004" spans="24:32" s="3" customFormat="1" x14ac:dyDescent="0.25">
      <c r="X1004" s="294" t="s">
        <v>118</v>
      </c>
      <c r="Y1004" s="295" t="s">
        <v>411</v>
      </c>
      <c r="Z1004" s="296" t="s">
        <v>4</v>
      </c>
      <c r="AA1004" s="296" t="s">
        <v>6</v>
      </c>
      <c r="AB1004" s="348" t="s">
        <v>739</v>
      </c>
      <c r="AC1004" s="314" t="s">
        <v>36</v>
      </c>
      <c r="AD1004" s="459">
        <f t="shared" si="217"/>
        <v>30471.4</v>
      </c>
      <c r="AE1004" s="428">
        <f t="shared" si="217"/>
        <v>0</v>
      </c>
      <c r="AF1004" s="438">
        <f t="shared" si="217"/>
        <v>0</v>
      </c>
    </row>
    <row r="1005" spans="24:32" s="3" customFormat="1" ht="19.5" customHeight="1" x14ac:dyDescent="0.25">
      <c r="X1005" s="294" t="s">
        <v>51</v>
      </c>
      <c r="Y1005" s="295" t="s">
        <v>411</v>
      </c>
      <c r="Z1005" s="296" t="s">
        <v>4</v>
      </c>
      <c r="AA1005" s="296" t="s">
        <v>6</v>
      </c>
      <c r="AB1005" s="348" t="s">
        <v>739</v>
      </c>
      <c r="AC1005" s="314" t="s">
        <v>64</v>
      </c>
      <c r="AD1005" s="459">
        <f>5+30466.4</f>
        <v>30471.4</v>
      </c>
      <c r="AE1005" s="428">
        <v>0</v>
      </c>
      <c r="AF1005" s="438">
        <v>0</v>
      </c>
    </row>
    <row r="1006" spans="24:32" s="3" customFormat="1" x14ac:dyDescent="0.25">
      <c r="X1006" s="294" t="s">
        <v>392</v>
      </c>
      <c r="Y1006" s="295" t="s">
        <v>411</v>
      </c>
      <c r="Z1006" s="296" t="s">
        <v>4</v>
      </c>
      <c r="AA1006" s="296" t="s">
        <v>6</v>
      </c>
      <c r="AB1006" s="348" t="s">
        <v>393</v>
      </c>
      <c r="AC1006" s="314"/>
      <c r="AD1006" s="459">
        <f t="shared" ref="AD1006:AF1007" si="218">AD1007</f>
        <v>205026.5</v>
      </c>
      <c r="AE1006" s="428">
        <f t="shared" si="218"/>
        <v>0</v>
      </c>
      <c r="AF1006" s="438">
        <f t="shared" si="218"/>
        <v>0</v>
      </c>
    </row>
    <row r="1007" spans="24:32" s="3" customFormat="1" x14ac:dyDescent="0.25">
      <c r="X1007" s="294" t="s">
        <v>118</v>
      </c>
      <c r="Y1007" s="295" t="s">
        <v>411</v>
      </c>
      <c r="Z1007" s="296" t="s">
        <v>4</v>
      </c>
      <c r="AA1007" s="296" t="s">
        <v>6</v>
      </c>
      <c r="AB1007" s="348" t="s">
        <v>393</v>
      </c>
      <c r="AC1007" s="314" t="s">
        <v>36</v>
      </c>
      <c r="AD1007" s="459">
        <f t="shared" si="218"/>
        <v>205026.5</v>
      </c>
      <c r="AE1007" s="428">
        <f t="shared" si="218"/>
        <v>0</v>
      </c>
      <c r="AF1007" s="438">
        <f t="shared" si="218"/>
        <v>0</v>
      </c>
    </row>
    <row r="1008" spans="24:32" s="3" customFormat="1" ht="31.5" x14ac:dyDescent="0.25">
      <c r="X1008" s="294" t="s">
        <v>51</v>
      </c>
      <c r="Y1008" s="295" t="s">
        <v>411</v>
      </c>
      <c r="Z1008" s="296" t="s">
        <v>4</v>
      </c>
      <c r="AA1008" s="296" t="s">
        <v>6</v>
      </c>
      <c r="AB1008" s="348" t="s">
        <v>393</v>
      </c>
      <c r="AC1008" s="314" t="s">
        <v>64</v>
      </c>
      <c r="AD1008" s="459">
        <f>193273.6+39026.4-4444.1-22008.7-137.9-682.8</f>
        <v>205026.5</v>
      </c>
      <c r="AE1008" s="428">
        <v>0</v>
      </c>
      <c r="AF1008" s="438">
        <v>0</v>
      </c>
    </row>
    <row r="1009" spans="24:32" s="3" customFormat="1" x14ac:dyDescent="0.25">
      <c r="X1009" s="307" t="s">
        <v>639</v>
      </c>
      <c r="Y1009" s="295" t="s">
        <v>411</v>
      </c>
      <c r="Z1009" s="296" t="s">
        <v>4</v>
      </c>
      <c r="AA1009" s="296" t="s">
        <v>6</v>
      </c>
      <c r="AB1009" s="272" t="s">
        <v>640</v>
      </c>
      <c r="AC1009" s="314"/>
      <c r="AD1009" s="459">
        <f>AD1013+AD1016+AD1010</f>
        <v>171813.5</v>
      </c>
      <c r="AE1009" s="459">
        <f>AE1013+AE1016+AE1010</f>
        <v>16969.400000000001</v>
      </c>
      <c r="AF1009" s="459">
        <f>AF1013+AF1016+AF1010</f>
        <v>242420</v>
      </c>
    </row>
    <row r="1010" spans="24:32" s="3" customFormat="1" ht="66.75" customHeight="1" x14ac:dyDescent="0.25">
      <c r="X1010" s="307" t="s">
        <v>774</v>
      </c>
      <c r="Y1010" s="295" t="s">
        <v>411</v>
      </c>
      <c r="Z1010" s="296" t="s">
        <v>4</v>
      </c>
      <c r="AA1010" s="296" t="s">
        <v>6</v>
      </c>
      <c r="AB1010" s="272" t="s">
        <v>775</v>
      </c>
      <c r="AC1010" s="314"/>
      <c r="AD1010" s="459">
        <f t="shared" ref="AD1010:AF1011" si="219">AD1011</f>
        <v>29738.400000000001</v>
      </c>
      <c r="AE1010" s="428">
        <f t="shared" si="219"/>
        <v>0</v>
      </c>
      <c r="AF1010" s="428">
        <f t="shared" si="219"/>
        <v>0</v>
      </c>
    </row>
    <row r="1011" spans="24:32" s="3" customFormat="1" x14ac:dyDescent="0.25">
      <c r="X1011" s="294" t="s">
        <v>118</v>
      </c>
      <c r="Y1011" s="295" t="s">
        <v>411</v>
      </c>
      <c r="Z1011" s="296" t="s">
        <v>4</v>
      </c>
      <c r="AA1011" s="296" t="s">
        <v>6</v>
      </c>
      <c r="AB1011" s="272" t="s">
        <v>775</v>
      </c>
      <c r="AC1011" s="314" t="s">
        <v>36</v>
      </c>
      <c r="AD1011" s="459">
        <f t="shared" si="219"/>
        <v>29738.400000000001</v>
      </c>
      <c r="AE1011" s="428">
        <f t="shared" si="219"/>
        <v>0</v>
      </c>
      <c r="AF1011" s="428">
        <f t="shared" si="219"/>
        <v>0</v>
      </c>
    </row>
    <row r="1012" spans="24:32" s="3" customFormat="1" ht="31.5" x14ac:dyDescent="0.25">
      <c r="X1012" s="294" t="s">
        <v>51</v>
      </c>
      <c r="Y1012" s="295" t="s">
        <v>411</v>
      </c>
      <c r="Z1012" s="296" t="s">
        <v>4</v>
      </c>
      <c r="AA1012" s="296" t="s">
        <v>6</v>
      </c>
      <c r="AB1012" s="272" t="s">
        <v>775</v>
      </c>
      <c r="AC1012" s="314" t="s">
        <v>64</v>
      </c>
      <c r="AD1012" s="459">
        <f>30382+11026.4-11026.4-643.6</f>
        <v>29738.400000000001</v>
      </c>
      <c r="AE1012" s="428">
        <v>0</v>
      </c>
      <c r="AF1012" s="438">
        <v>0</v>
      </c>
    </row>
    <row r="1013" spans="24:32" s="3" customFormat="1" ht="47.25" x14ac:dyDescent="0.25">
      <c r="X1013" s="255" t="s">
        <v>638</v>
      </c>
      <c r="Y1013" s="295" t="s">
        <v>411</v>
      </c>
      <c r="Z1013" s="296" t="s">
        <v>4</v>
      </c>
      <c r="AA1013" s="296" t="s">
        <v>6</v>
      </c>
      <c r="AB1013" s="272" t="s">
        <v>641</v>
      </c>
      <c r="AC1013" s="314"/>
      <c r="AD1013" s="459">
        <f t="shared" ref="AD1013:AF1017" si="220">AD1014</f>
        <v>142075.1</v>
      </c>
      <c r="AE1013" s="428">
        <f t="shared" si="220"/>
        <v>0</v>
      </c>
      <c r="AF1013" s="438">
        <f t="shared" si="220"/>
        <v>0</v>
      </c>
    </row>
    <row r="1014" spans="24:32" s="3" customFormat="1" x14ac:dyDescent="0.25">
      <c r="X1014" s="294" t="s">
        <v>118</v>
      </c>
      <c r="Y1014" s="295" t="s">
        <v>411</v>
      </c>
      <c r="Z1014" s="296" t="s">
        <v>4</v>
      </c>
      <c r="AA1014" s="296" t="s">
        <v>6</v>
      </c>
      <c r="AB1014" s="272" t="s">
        <v>641</v>
      </c>
      <c r="AC1014" s="314" t="s">
        <v>36</v>
      </c>
      <c r="AD1014" s="459">
        <f t="shared" si="220"/>
        <v>142075.1</v>
      </c>
      <c r="AE1014" s="428">
        <f t="shared" si="220"/>
        <v>0</v>
      </c>
      <c r="AF1014" s="438">
        <f t="shared" si="220"/>
        <v>0</v>
      </c>
    </row>
    <row r="1015" spans="24:32" s="3" customFormat="1" ht="31.5" x14ac:dyDescent="0.25">
      <c r="X1015" s="294" t="s">
        <v>51</v>
      </c>
      <c r="Y1015" s="295" t="s">
        <v>411</v>
      </c>
      <c r="Z1015" s="296" t="s">
        <v>4</v>
      </c>
      <c r="AA1015" s="296" t="s">
        <v>6</v>
      </c>
      <c r="AB1015" s="272" t="s">
        <v>641</v>
      </c>
      <c r="AC1015" s="314" t="s">
        <v>64</v>
      </c>
      <c r="AD1015" s="459">
        <f>92572.4+20183.3+24071.2+5248.2</f>
        <v>142075.1</v>
      </c>
      <c r="AE1015" s="428">
        <v>0</v>
      </c>
      <c r="AF1015" s="438">
        <v>0</v>
      </c>
    </row>
    <row r="1016" spans="24:32" s="3" customFormat="1" ht="31.5" x14ac:dyDescent="0.25">
      <c r="X1016" s="294" t="s">
        <v>611</v>
      </c>
      <c r="Y1016" s="295" t="s">
        <v>411</v>
      </c>
      <c r="Z1016" s="296" t="s">
        <v>4</v>
      </c>
      <c r="AA1016" s="296" t="s">
        <v>6</v>
      </c>
      <c r="AB1016" s="272" t="s">
        <v>644</v>
      </c>
      <c r="AC1016" s="314"/>
      <c r="AD1016" s="459">
        <f>AD1017</f>
        <v>0</v>
      </c>
      <c r="AE1016" s="428">
        <f t="shared" si="220"/>
        <v>16969.400000000001</v>
      </c>
      <c r="AF1016" s="438">
        <f>AF1017</f>
        <v>242420</v>
      </c>
    </row>
    <row r="1017" spans="24:32" s="3" customFormat="1" x14ac:dyDescent="0.25">
      <c r="X1017" s="294" t="s">
        <v>118</v>
      </c>
      <c r="Y1017" s="295" t="s">
        <v>411</v>
      </c>
      <c r="Z1017" s="296" t="s">
        <v>4</v>
      </c>
      <c r="AA1017" s="296" t="s">
        <v>6</v>
      </c>
      <c r="AB1017" s="272" t="s">
        <v>644</v>
      </c>
      <c r="AC1017" s="314" t="s">
        <v>36</v>
      </c>
      <c r="AD1017" s="459">
        <f>AD1018</f>
        <v>0</v>
      </c>
      <c r="AE1017" s="428">
        <f t="shared" si="220"/>
        <v>16969.400000000001</v>
      </c>
      <c r="AF1017" s="438">
        <f>AF1018</f>
        <v>242420</v>
      </c>
    </row>
    <row r="1018" spans="24:32" s="3" customFormat="1" ht="31.5" x14ac:dyDescent="0.25">
      <c r="X1018" s="294" t="s">
        <v>51</v>
      </c>
      <c r="Y1018" s="295" t="s">
        <v>411</v>
      </c>
      <c r="Z1018" s="296" t="s">
        <v>4</v>
      </c>
      <c r="AA1018" s="296" t="s">
        <v>6</v>
      </c>
      <c r="AB1018" s="272" t="s">
        <v>644</v>
      </c>
      <c r="AC1018" s="314" t="s">
        <v>64</v>
      </c>
      <c r="AD1018" s="459">
        <v>0</v>
      </c>
      <c r="AE1018" s="428">
        <f>13931.9+3037.5</f>
        <v>16969.400000000001</v>
      </c>
      <c r="AF1018" s="438">
        <f>199026.8+43393.2</f>
        <v>242420</v>
      </c>
    </row>
    <row r="1019" spans="24:32" s="3" customFormat="1" ht="31.5" x14ac:dyDescent="0.25">
      <c r="X1019" s="299" t="s">
        <v>535</v>
      </c>
      <c r="Y1019" s="295" t="s">
        <v>411</v>
      </c>
      <c r="Z1019" s="296" t="s">
        <v>4</v>
      </c>
      <c r="AA1019" s="296" t="s">
        <v>6</v>
      </c>
      <c r="AB1019" s="348" t="s">
        <v>242</v>
      </c>
      <c r="AC1019" s="314"/>
      <c r="AD1019" s="459">
        <f>AD1020+AD1039</f>
        <v>134638.70000000001</v>
      </c>
      <c r="AE1019" s="459">
        <f>AE1020+AE1039</f>
        <v>102753</v>
      </c>
      <c r="AF1019" s="459">
        <f>AF1020+AF1039</f>
        <v>142517.20000000001</v>
      </c>
    </row>
    <row r="1020" spans="24:32" s="3" customFormat="1" ht="31.5" x14ac:dyDescent="0.25">
      <c r="X1020" s="307" t="s">
        <v>536</v>
      </c>
      <c r="Y1020" s="295" t="s">
        <v>411</v>
      </c>
      <c r="Z1020" s="296" t="s">
        <v>4</v>
      </c>
      <c r="AA1020" s="296" t="s">
        <v>6</v>
      </c>
      <c r="AB1020" s="348" t="s">
        <v>243</v>
      </c>
      <c r="AC1020" s="297"/>
      <c r="AD1020" s="459">
        <f>AD1024+AD1027+AD1036+AD1033+AD1030+AD1021</f>
        <v>99601.400000000009</v>
      </c>
      <c r="AE1020" s="459">
        <f>AE1024+AE1027+AE1036+AE1033+AE1030+AE1021</f>
        <v>62630.7</v>
      </c>
      <c r="AF1020" s="459">
        <f>AF1024+AF1027+AF1036+AF1033+AF1030+AF1021</f>
        <v>100789.9</v>
      </c>
    </row>
    <row r="1021" spans="24:32" s="3" customFormat="1" x14ac:dyDescent="0.25">
      <c r="X1021" s="307" t="s">
        <v>763</v>
      </c>
      <c r="Y1021" s="295" t="s">
        <v>411</v>
      </c>
      <c r="Z1021" s="296" t="s">
        <v>4</v>
      </c>
      <c r="AA1021" s="296" t="s">
        <v>6</v>
      </c>
      <c r="AB1021" s="348" t="s">
        <v>764</v>
      </c>
      <c r="AC1021" s="297"/>
      <c r="AD1021" s="459">
        <f t="shared" ref="AD1021:AF1022" si="221">AD1022</f>
        <v>33931.800000000003</v>
      </c>
      <c r="AE1021" s="428">
        <f t="shared" si="221"/>
        <v>0</v>
      </c>
      <c r="AF1021" s="438">
        <f t="shared" si="221"/>
        <v>0</v>
      </c>
    </row>
    <row r="1022" spans="24:32" s="3" customFormat="1" x14ac:dyDescent="0.25">
      <c r="X1022" s="294" t="s">
        <v>118</v>
      </c>
      <c r="Y1022" s="295" t="s">
        <v>411</v>
      </c>
      <c r="Z1022" s="296" t="s">
        <v>4</v>
      </c>
      <c r="AA1022" s="296" t="s">
        <v>6</v>
      </c>
      <c r="AB1022" s="348" t="s">
        <v>764</v>
      </c>
      <c r="AC1022" s="314" t="s">
        <v>36</v>
      </c>
      <c r="AD1022" s="459">
        <f t="shared" si="221"/>
        <v>33931.800000000003</v>
      </c>
      <c r="AE1022" s="428">
        <f t="shared" si="221"/>
        <v>0</v>
      </c>
      <c r="AF1022" s="438">
        <f t="shared" si="221"/>
        <v>0</v>
      </c>
    </row>
    <row r="1023" spans="24:32" s="3" customFormat="1" ht="24.75" customHeight="1" x14ac:dyDescent="0.25">
      <c r="X1023" s="294" t="s">
        <v>51</v>
      </c>
      <c r="Y1023" s="295" t="s">
        <v>411</v>
      </c>
      <c r="Z1023" s="296" t="s">
        <v>4</v>
      </c>
      <c r="AA1023" s="296" t="s">
        <v>6</v>
      </c>
      <c r="AB1023" s="348" t="s">
        <v>764</v>
      </c>
      <c r="AC1023" s="314" t="s">
        <v>64</v>
      </c>
      <c r="AD1023" s="459">
        <f>1500-0.1-0.2+13050+14300+600+3000+1482.1</f>
        <v>33931.800000000003</v>
      </c>
      <c r="AE1023" s="428">
        <v>0</v>
      </c>
      <c r="AF1023" s="438">
        <v>0</v>
      </c>
    </row>
    <row r="1024" spans="24:32" s="3" customFormat="1" x14ac:dyDescent="0.25">
      <c r="X1024" s="453" t="s">
        <v>567</v>
      </c>
      <c r="Y1024" s="295" t="s">
        <v>411</v>
      </c>
      <c r="Z1024" s="296" t="s">
        <v>4</v>
      </c>
      <c r="AA1024" s="296" t="s">
        <v>6</v>
      </c>
      <c r="AB1024" s="348" t="s">
        <v>566</v>
      </c>
      <c r="AC1024" s="297"/>
      <c r="AD1024" s="459">
        <f t="shared" ref="AD1024:AF1025" si="222">AD1025</f>
        <v>0</v>
      </c>
      <c r="AE1024" s="428">
        <f t="shared" si="222"/>
        <v>4891.6000000000004</v>
      </c>
      <c r="AF1024" s="438">
        <f t="shared" si="222"/>
        <v>32860.699999999997</v>
      </c>
    </row>
    <row r="1025" spans="1:34" x14ac:dyDescent="0.25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R1025" s="3"/>
      <c r="S1025" s="3"/>
      <c r="X1025" s="294" t="s">
        <v>118</v>
      </c>
      <c r="Y1025" s="295" t="s">
        <v>411</v>
      </c>
      <c r="Z1025" s="296" t="s">
        <v>4</v>
      </c>
      <c r="AA1025" s="296" t="s">
        <v>6</v>
      </c>
      <c r="AB1025" s="348" t="s">
        <v>566</v>
      </c>
      <c r="AC1025" s="323">
        <v>200</v>
      </c>
      <c r="AD1025" s="459">
        <f t="shared" si="222"/>
        <v>0</v>
      </c>
      <c r="AE1025" s="428">
        <f t="shared" si="222"/>
        <v>4891.6000000000004</v>
      </c>
      <c r="AF1025" s="438">
        <f t="shared" si="222"/>
        <v>32860.699999999997</v>
      </c>
      <c r="AH1025" s="3"/>
    </row>
    <row r="1026" spans="1:34" ht="31.5" x14ac:dyDescent="0.25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R1026" s="3"/>
      <c r="S1026" s="3"/>
      <c r="X1026" s="294" t="s">
        <v>51</v>
      </c>
      <c r="Y1026" s="295" t="s">
        <v>411</v>
      </c>
      <c r="Z1026" s="296" t="s">
        <v>4</v>
      </c>
      <c r="AA1026" s="296" t="s">
        <v>6</v>
      </c>
      <c r="AB1026" s="348" t="s">
        <v>566</v>
      </c>
      <c r="AC1026" s="297">
        <v>240</v>
      </c>
      <c r="AD1026" s="459">
        <v>0</v>
      </c>
      <c r="AE1026" s="428">
        <f>31597-0.3-11133.7-15571.4</f>
        <v>4891.6000000000004</v>
      </c>
      <c r="AF1026" s="438">
        <f>32861-0.3</f>
        <v>32860.699999999997</v>
      </c>
      <c r="AG1026" s="190"/>
      <c r="AH1026" s="3"/>
    </row>
    <row r="1027" spans="1:34" x14ac:dyDescent="0.25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R1027" s="3"/>
      <c r="S1027" s="3"/>
      <c r="X1027" s="294" t="s">
        <v>429</v>
      </c>
      <c r="Y1027" s="295" t="s">
        <v>411</v>
      </c>
      <c r="Z1027" s="296" t="s">
        <v>4</v>
      </c>
      <c r="AA1027" s="296" t="s">
        <v>6</v>
      </c>
      <c r="AB1027" s="348" t="s">
        <v>397</v>
      </c>
      <c r="AC1027" s="297"/>
      <c r="AD1027" s="459">
        <f t="shared" ref="AD1027:AF1028" si="223">AD1028</f>
        <v>32793.300000000003</v>
      </c>
      <c r="AE1027" s="428">
        <f t="shared" si="223"/>
        <v>22488.1</v>
      </c>
      <c r="AF1027" s="438">
        <f t="shared" si="223"/>
        <v>31269.200000000001</v>
      </c>
      <c r="AG1027" s="189"/>
      <c r="AH1027" s="3"/>
    </row>
    <row r="1028" spans="1:34" x14ac:dyDescent="0.25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R1028" s="3"/>
      <c r="S1028" s="3"/>
      <c r="X1028" s="294" t="s">
        <v>118</v>
      </c>
      <c r="Y1028" s="295" t="s">
        <v>411</v>
      </c>
      <c r="Z1028" s="296" t="s">
        <v>4</v>
      </c>
      <c r="AA1028" s="296" t="s">
        <v>6</v>
      </c>
      <c r="AB1028" s="348" t="s">
        <v>397</v>
      </c>
      <c r="AC1028" s="323">
        <v>200</v>
      </c>
      <c r="AD1028" s="459">
        <f t="shared" si="223"/>
        <v>32793.300000000003</v>
      </c>
      <c r="AE1028" s="428">
        <f t="shared" si="223"/>
        <v>22488.1</v>
      </c>
      <c r="AF1028" s="438">
        <f t="shared" si="223"/>
        <v>31269.200000000001</v>
      </c>
      <c r="AG1028" s="189"/>
      <c r="AH1028" s="3"/>
    </row>
    <row r="1029" spans="1:34" ht="31.5" x14ac:dyDescent="0.25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R1029" s="3"/>
      <c r="S1029" s="3"/>
      <c r="X1029" s="294" t="s">
        <v>51</v>
      </c>
      <c r="Y1029" s="295" t="s">
        <v>411</v>
      </c>
      <c r="Z1029" s="296" t="s">
        <v>4</v>
      </c>
      <c r="AA1029" s="296" t="s">
        <v>6</v>
      </c>
      <c r="AB1029" s="348" t="s">
        <v>397</v>
      </c>
      <c r="AC1029" s="297">
        <v>240</v>
      </c>
      <c r="AD1029" s="459">
        <f>45027.6-11026.4+11026.4-14734.3+1300+600+600</f>
        <v>32793.300000000003</v>
      </c>
      <c r="AE1029" s="429">
        <f>45027.6-22267.5-272</f>
        <v>22488.1</v>
      </c>
      <c r="AF1029" s="438">
        <v>31269.200000000001</v>
      </c>
      <c r="AG1029" s="190"/>
      <c r="AH1029" s="34" t="s">
        <v>777</v>
      </c>
    </row>
    <row r="1030" spans="1:34" ht="31.5" x14ac:dyDescent="0.25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R1030" s="3"/>
      <c r="S1030" s="3"/>
      <c r="X1030" s="294" t="s">
        <v>619</v>
      </c>
      <c r="Y1030" s="295" t="s">
        <v>411</v>
      </c>
      <c r="Z1030" s="296" t="s">
        <v>4</v>
      </c>
      <c r="AA1030" s="296" t="s">
        <v>6</v>
      </c>
      <c r="AB1030" s="348" t="s">
        <v>618</v>
      </c>
      <c r="AC1030" s="297"/>
      <c r="AD1030" s="459">
        <f t="shared" ref="AD1030:AF1031" si="224">AD1031</f>
        <v>15915.2</v>
      </c>
      <c r="AE1030" s="428">
        <f t="shared" si="224"/>
        <v>16552</v>
      </c>
      <c r="AF1030" s="438">
        <f t="shared" si="224"/>
        <v>17214</v>
      </c>
      <c r="AG1030" s="190"/>
      <c r="AH1030" s="3"/>
    </row>
    <row r="1031" spans="1:34" x14ac:dyDescent="0.25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R1031" s="3"/>
      <c r="S1031" s="3"/>
      <c r="X1031" s="294" t="s">
        <v>118</v>
      </c>
      <c r="Y1031" s="295" t="s">
        <v>411</v>
      </c>
      <c r="Z1031" s="296" t="s">
        <v>4</v>
      </c>
      <c r="AA1031" s="296" t="s">
        <v>6</v>
      </c>
      <c r="AB1031" s="348" t="s">
        <v>618</v>
      </c>
      <c r="AC1031" s="323">
        <v>200</v>
      </c>
      <c r="AD1031" s="459">
        <f t="shared" si="224"/>
        <v>15915.2</v>
      </c>
      <c r="AE1031" s="428">
        <f t="shared" si="224"/>
        <v>16552</v>
      </c>
      <c r="AF1031" s="438">
        <f t="shared" si="224"/>
        <v>17214</v>
      </c>
      <c r="AG1031" s="190"/>
      <c r="AH1031" s="3"/>
    </row>
    <row r="1032" spans="1:34" ht="31.5" x14ac:dyDescent="0.25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R1032" s="3"/>
      <c r="S1032" s="3"/>
      <c r="X1032" s="294" t="s">
        <v>51</v>
      </c>
      <c r="Y1032" s="295" t="s">
        <v>411</v>
      </c>
      <c r="Z1032" s="296" t="s">
        <v>4</v>
      </c>
      <c r="AA1032" s="296" t="s">
        <v>6</v>
      </c>
      <c r="AB1032" s="348" t="s">
        <v>618</v>
      </c>
      <c r="AC1032" s="297">
        <v>240</v>
      </c>
      <c r="AD1032" s="459">
        <f>15915+0.2</f>
        <v>15915.2</v>
      </c>
      <c r="AE1032" s="428">
        <v>16552</v>
      </c>
      <c r="AF1032" s="438">
        <v>17214</v>
      </c>
      <c r="AG1032" s="190"/>
      <c r="AH1032" s="3"/>
    </row>
    <row r="1033" spans="1:34" x14ac:dyDescent="0.25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R1033" s="3"/>
      <c r="S1033" s="3"/>
      <c r="X1033" s="294" t="s">
        <v>616</v>
      </c>
      <c r="Y1033" s="295" t="s">
        <v>411</v>
      </c>
      <c r="Z1033" s="296" t="s">
        <v>4</v>
      </c>
      <c r="AA1033" s="296" t="s">
        <v>6</v>
      </c>
      <c r="AB1033" s="348" t="s">
        <v>617</v>
      </c>
      <c r="AC1033" s="297"/>
      <c r="AD1033" s="459">
        <f t="shared" ref="AD1033:AF1034" si="225">AD1034</f>
        <v>14147</v>
      </c>
      <c r="AE1033" s="428">
        <f t="shared" si="225"/>
        <v>14713</v>
      </c>
      <c r="AF1033" s="438">
        <f t="shared" si="225"/>
        <v>15301</v>
      </c>
      <c r="AG1033" s="190"/>
      <c r="AH1033" s="3"/>
    </row>
    <row r="1034" spans="1:34" x14ac:dyDescent="0.25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R1034" s="3"/>
      <c r="S1034" s="3"/>
      <c r="X1034" s="294" t="s">
        <v>118</v>
      </c>
      <c r="Y1034" s="295" t="s">
        <v>411</v>
      </c>
      <c r="Z1034" s="296" t="s">
        <v>4</v>
      </c>
      <c r="AA1034" s="296" t="s">
        <v>6</v>
      </c>
      <c r="AB1034" s="348" t="s">
        <v>617</v>
      </c>
      <c r="AC1034" s="323">
        <v>200</v>
      </c>
      <c r="AD1034" s="459">
        <f t="shared" si="225"/>
        <v>14147</v>
      </c>
      <c r="AE1034" s="428">
        <f t="shared" si="225"/>
        <v>14713</v>
      </c>
      <c r="AF1034" s="438">
        <f t="shared" si="225"/>
        <v>15301</v>
      </c>
      <c r="AG1034" s="190"/>
      <c r="AH1034" s="3"/>
    </row>
    <row r="1035" spans="1:34" ht="31.5" x14ac:dyDescent="0.25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R1035" s="3"/>
      <c r="S1035" s="3"/>
      <c r="X1035" s="294" t="s">
        <v>51</v>
      </c>
      <c r="Y1035" s="295" t="s">
        <v>411</v>
      </c>
      <c r="Z1035" s="296" t="s">
        <v>4</v>
      </c>
      <c r="AA1035" s="296" t="s">
        <v>6</v>
      </c>
      <c r="AB1035" s="348" t="s">
        <v>617</v>
      </c>
      <c r="AC1035" s="297">
        <v>240</v>
      </c>
      <c r="AD1035" s="459">
        <f>14147</f>
        <v>14147</v>
      </c>
      <c r="AE1035" s="428">
        <v>14713</v>
      </c>
      <c r="AF1035" s="438">
        <v>15301</v>
      </c>
      <c r="AG1035" s="190"/>
      <c r="AH1035" s="3"/>
    </row>
    <row r="1036" spans="1:34" x14ac:dyDescent="0.25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R1036" s="3"/>
      <c r="S1036" s="3"/>
      <c r="X1036" s="294" t="s">
        <v>424</v>
      </c>
      <c r="Y1036" s="295" t="s">
        <v>411</v>
      </c>
      <c r="Z1036" s="296" t="s">
        <v>4</v>
      </c>
      <c r="AA1036" s="296" t="s">
        <v>6</v>
      </c>
      <c r="AB1036" s="348" t="s">
        <v>680</v>
      </c>
      <c r="AC1036" s="297"/>
      <c r="AD1036" s="459">
        <f t="shared" ref="AD1036:AF1037" si="226">AD1037</f>
        <v>2814.1</v>
      </c>
      <c r="AE1036" s="428">
        <f t="shared" si="226"/>
        <v>3986</v>
      </c>
      <c r="AF1036" s="438">
        <f t="shared" si="226"/>
        <v>4145</v>
      </c>
      <c r="AG1036" s="190"/>
      <c r="AH1036" s="3"/>
    </row>
    <row r="1037" spans="1:34" x14ac:dyDescent="0.25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R1037" s="3"/>
      <c r="S1037" s="3"/>
      <c r="X1037" s="294" t="s">
        <v>118</v>
      </c>
      <c r="Y1037" s="295" t="s">
        <v>411</v>
      </c>
      <c r="Z1037" s="296" t="s">
        <v>4</v>
      </c>
      <c r="AA1037" s="296" t="s">
        <v>6</v>
      </c>
      <c r="AB1037" s="348" t="s">
        <v>680</v>
      </c>
      <c r="AC1037" s="323">
        <v>200</v>
      </c>
      <c r="AD1037" s="459">
        <f t="shared" si="226"/>
        <v>2814.1</v>
      </c>
      <c r="AE1037" s="428">
        <f t="shared" si="226"/>
        <v>3986</v>
      </c>
      <c r="AF1037" s="438">
        <f t="shared" si="226"/>
        <v>4145</v>
      </c>
      <c r="AG1037" s="190"/>
      <c r="AH1037" s="3"/>
    </row>
    <row r="1038" spans="1:34" ht="31.5" x14ac:dyDescent="0.25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R1038" s="3"/>
      <c r="S1038" s="3"/>
      <c r="X1038" s="294" t="s">
        <v>51</v>
      </c>
      <c r="Y1038" s="295" t="s">
        <v>411</v>
      </c>
      <c r="Z1038" s="296" t="s">
        <v>4</v>
      </c>
      <c r="AA1038" s="296" t="s">
        <v>6</v>
      </c>
      <c r="AB1038" s="348" t="s">
        <v>680</v>
      </c>
      <c r="AC1038" s="297">
        <v>240</v>
      </c>
      <c r="AD1038" s="459">
        <f>3833-1018.9</f>
        <v>2814.1</v>
      </c>
      <c r="AE1038" s="428">
        <v>3986</v>
      </c>
      <c r="AF1038" s="438">
        <v>4145</v>
      </c>
      <c r="AG1038" s="190"/>
      <c r="AH1038" s="3"/>
    </row>
    <row r="1039" spans="1:34" x14ac:dyDescent="0.25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R1039" s="3"/>
      <c r="S1039" s="3"/>
      <c r="X1039" s="307" t="s">
        <v>639</v>
      </c>
      <c r="Y1039" s="295" t="s">
        <v>411</v>
      </c>
      <c r="Z1039" s="296" t="s">
        <v>4</v>
      </c>
      <c r="AA1039" s="296" t="s">
        <v>6</v>
      </c>
      <c r="AB1039" s="359" t="s">
        <v>806</v>
      </c>
      <c r="AC1039" s="297"/>
      <c r="AD1039" s="459">
        <f t="shared" ref="AD1039:AF1041" si="227">AD1040</f>
        <v>35037.299999999996</v>
      </c>
      <c r="AE1039" s="459">
        <f t="shared" si="227"/>
        <v>40122.300000000003</v>
      </c>
      <c r="AF1039" s="459">
        <f t="shared" si="227"/>
        <v>41727.300000000003</v>
      </c>
      <c r="AG1039" s="190"/>
      <c r="AH1039" s="3"/>
    </row>
    <row r="1040" spans="1:34" x14ac:dyDescent="0.25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R1040" s="3"/>
      <c r="S1040" s="3"/>
      <c r="X1040" s="307" t="s">
        <v>391</v>
      </c>
      <c r="Y1040" s="295" t="s">
        <v>411</v>
      </c>
      <c r="Z1040" s="296" t="s">
        <v>4</v>
      </c>
      <c r="AA1040" s="296" t="s">
        <v>6</v>
      </c>
      <c r="AB1040" s="359" t="s">
        <v>776</v>
      </c>
      <c r="AC1040" s="297"/>
      <c r="AD1040" s="459">
        <f t="shared" si="227"/>
        <v>35037.299999999996</v>
      </c>
      <c r="AE1040" s="428">
        <f t="shared" si="227"/>
        <v>40122.300000000003</v>
      </c>
      <c r="AF1040" s="438">
        <f t="shared" si="227"/>
        <v>41727.300000000003</v>
      </c>
      <c r="AG1040" s="190"/>
      <c r="AH1040" s="3"/>
    </row>
    <row r="1041" spans="24:33" s="3" customFormat="1" x14ac:dyDescent="0.25">
      <c r="X1041" s="294" t="s">
        <v>118</v>
      </c>
      <c r="Y1041" s="295" t="s">
        <v>411</v>
      </c>
      <c r="Z1041" s="296" t="s">
        <v>4</v>
      </c>
      <c r="AA1041" s="296" t="s">
        <v>6</v>
      </c>
      <c r="AB1041" s="359" t="s">
        <v>776</v>
      </c>
      <c r="AC1041" s="297">
        <v>200</v>
      </c>
      <c r="AD1041" s="459">
        <f t="shared" si="227"/>
        <v>35037.299999999996</v>
      </c>
      <c r="AE1041" s="428">
        <f t="shared" si="227"/>
        <v>40122.300000000003</v>
      </c>
      <c r="AF1041" s="438">
        <f t="shared" si="227"/>
        <v>41727.300000000003</v>
      </c>
      <c r="AG1041" s="190"/>
    </row>
    <row r="1042" spans="24:33" s="3" customFormat="1" ht="31.5" x14ac:dyDescent="0.25">
      <c r="X1042" s="294" t="s">
        <v>51</v>
      </c>
      <c r="Y1042" s="295" t="s">
        <v>411</v>
      </c>
      <c r="Z1042" s="296" t="s">
        <v>4</v>
      </c>
      <c r="AA1042" s="296" t="s">
        <v>6</v>
      </c>
      <c r="AB1042" s="359" t="s">
        <v>776</v>
      </c>
      <c r="AC1042" s="297">
        <v>240</v>
      </c>
      <c r="AD1042" s="459">
        <f>38579+0.1-3541.8</f>
        <v>35037.299999999996</v>
      </c>
      <c r="AE1042" s="428">
        <f>40122+0.3</f>
        <v>40122.300000000003</v>
      </c>
      <c r="AF1042" s="438">
        <f>41727+0.3</f>
        <v>41727.300000000003</v>
      </c>
      <c r="AG1042" s="190"/>
    </row>
    <row r="1043" spans="24:33" s="3" customFormat="1" x14ac:dyDescent="0.25">
      <c r="X1043" s="294" t="s">
        <v>26</v>
      </c>
      <c r="Y1043" s="295" t="s">
        <v>411</v>
      </c>
      <c r="Z1043" s="296" t="s">
        <v>4</v>
      </c>
      <c r="AA1043" s="296" t="s">
        <v>4</v>
      </c>
      <c r="AB1043" s="347"/>
      <c r="AC1043" s="323"/>
      <c r="AD1043" s="459">
        <f>AD1050+AD1044</f>
        <v>30952.800000000003</v>
      </c>
      <c r="AE1043" s="428">
        <f>AE1050+AE1044</f>
        <v>30209.8</v>
      </c>
      <c r="AF1043" s="438">
        <f>AF1050+AF1044</f>
        <v>30215.399999999998</v>
      </c>
      <c r="AG1043" s="16"/>
    </row>
    <row r="1044" spans="24:33" s="3" customFormat="1" x14ac:dyDescent="0.25">
      <c r="X1044" s="299" t="s">
        <v>184</v>
      </c>
      <c r="Y1044" s="295" t="s">
        <v>411</v>
      </c>
      <c r="Z1044" s="296" t="s">
        <v>4</v>
      </c>
      <c r="AA1044" s="296" t="s">
        <v>4</v>
      </c>
      <c r="AB1044" s="348" t="s">
        <v>110</v>
      </c>
      <c r="AC1044" s="323"/>
      <c r="AD1044" s="459">
        <f t="shared" ref="AD1044:AF1045" si="228">AD1045</f>
        <v>124.39999999999999</v>
      </c>
      <c r="AE1044" s="428">
        <f t="shared" si="228"/>
        <v>87.9</v>
      </c>
      <c r="AF1044" s="438">
        <f t="shared" si="228"/>
        <v>91.5</v>
      </c>
      <c r="AG1044" s="16"/>
    </row>
    <row r="1045" spans="24:33" s="3" customFormat="1" x14ac:dyDescent="0.25">
      <c r="X1045" s="299" t="s">
        <v>187</v>
      </c>
      <c r="Y1045" s="295" t="s">
        <v>411</v>
      </c>
      <c r="Z1045" s="296" t="s">
        <v>4</v>
      </c>
      <c r="AA1045" s="296" t="s">
        <v>4</v>
      </c>
      <c r="AB1045" s="348" t="s">
        <v>188</v>
      </c>
      <c r="AC1045" s="323"/>
      <c r="AD1045" s="459">
        <f t="shared" si="228"/>
        <v>124.39999999999999</v>
      </c>
      <c r="AE1045" s="428">
        <f t="shared" si="228"/>
        <v>87.9</v>
      </c>
      <c r="AF1045" s="438">
        <f t="shared" si="228"/>
        <v>91.5</v>
      </c>
      <c r="AG1045" s="16"/>
    </row>
    <row r="1046" spans="24:33" s="3" customFormat="1" ht="31.5" x14ac:dyDescent="0.25">
      <c r="X1046" s="294" t="s">
        <v>529</v>
      </c>
      <c r="Y1046" s="295" t="s">
        <v>411</v>
      </c>
      <c r="Z1046" s="296" t="s">
        <v>4</v>
      </c>
      <c r="AA1046" s="296" t="s">
        <v>4</v>
      </c>
      <c r="AB1046" s="350" t="s">
        <v>530</v>
      </c>
      <c r="AC1046" s="297"/>
      <c r="AD1046" s="459">
        <f>AD1047</f>
        <v>124.39999999999999</v>
      </c>
      <c r="AE1046" s="428">
        <f t="shared" ref="AE1046:AF1048" si="229">AE1047</f>
        <v>87.9</v>
      </c>
      <c r="AF1046" s="438">
        <f t="shared" si="229"/>
        <v>91.5</v>
      </c>
      <c r="AG1046" s="16"/>
    </row>
    <row r="1047" spans="24:33" s="3" customFormat="1" ht="78.75" x14ac:dyDescent="0.25">
      <c r="X1047" s="294" t="s">
        <v>401</v>
      </c>
      <c r="Y1047" s="295" t="s">
        <v>411</v>
      </c>
      <c r="Z1047" s="296" t="s">
        <v>4</v>
      </c>
      <c r="AA1047" s="296" t="s">
        <v>4</v>
      </c>
      <c r="AB1047" s="348" t="s">
        <v>531</v>
      </c>
      <c r="AC1047" s="297"/>
      <c r="AD1047" s="459">
        <f>AD1048</f>
        <v>124.39999999999999</v>
      </c>
      <c r="AE1047" s="428">
        <f t="shared" si="229"/>
        <v>87.9</v>
      </c>
      <c r="AF1047" s="438">
        <f t="shared" si="229"/>
        <v>91.5</v>
      </c>
      <c r="AG1047" s="16"/>
    </row>
    <row r="1048" spans="24:33" s="3" customFormat="1" x14ac:dyDescent="0.25">
      <c r="X1048" s="294" t="s">
        <v>118</v>
      </c>
      <c r="Y1048" s="295" t="s">
        <v>411</v>
      </c>
      <c r="Z1048" s="296" t="s">
        <v>4</v>
      </c>
      <c r="AA1048" s="296" t="s">
        <v>4</v>
      </c>
      <c r="AB1048" s="348" t="s">
        <v>531</v>
      </c>
      <c r="AC1048" s="297">
        <v>200</v>
      </c>
      <c r="AD1048" s="459">
        <f>AD1049</f>
        <v>124.39999999999999</v>
      </c>
      <c r="AE1048" s="428">
        <f t="shared" si="229"/>
        <v>87.9</v>
      </c>
      <c r="AF1048" s="438">
        <f t="shared" si="229"/>
        <v>91.5</v>
      </c>
      <c r="AG1048" s="16"/>
    </row>
    <row r="1049" spans="24:33" s="3" customFormat="1" ht="31.5" x14ac:dyDescent="0.25">
      <c r="X1049" s="294" t="s">
        <v>51</v>
      </c>
      <c r="Y1049" s="295" t="s">
        <v>411</v>
      </c>
      <c r="Z1049" s="296" t="s">
        <v>4</v>
      </c>
      <c r="AA1049" s="296" t="s">
        <v>4</v>
      </c>
      <c r="AB1049" s="348" t="s">
        <v>531</v>
      </c>
      <c r="AC1049" s="297">
        <v>240</v>
      </c>
      <c r="AD1049" s="459">
        <f>84.6+39.8</f>
        <v>124.39999999999999</v>
      </c>
      <c r="AE1049" s="428">
        <v>87.9</v>
      </c>
      <c r="AF1049" s="438">
        <v>91.5</v>
      </c>
      <c r="AG1049" s="16"/>
    </row>
    <row r="1050" spans="24:33" s="3" customFormat="1" x14ac:dyDescent="0.25">
      <c r="X1050" s="299" t="s">
        <v>240</v>
      </c>
      <c r="Y1050" s="295" t="s">
        <v>411</v>
      </c>
      <c r="Z1050" s="296" t="s">
        <v>4</v>
      </c>
      <c r="AA1050" s="296" t="s">
        <v>4</v>
      </c>
      <c r="AB1050" s="348" t="s">
        <v>241</v>
      </c>
      <c r="AC1050" s="323"/>
      <c r="AD1050" s="459">
        <f>AD1058+AD1051</f>
        <v>30828.400000000001</v>
      </c>
      <c r="AE1050" s="428">
        <f>AE1058+AE1051</f>
        <v>30121.899999999998</v>
      </c>
      <c r="AF1050" s="438">
        <f>AF1058+AF1051</f>
        <v>30123.899999999998</v>
      </c>
    </row>
    <row r="1051" spans="24:33" s="3" customFormat="1" ht="31.5" x14ac:dyDescent="0.25">
      <c r="X1051" s="299" t="s">
        <v>535</v>
      </c>
      <c r="Y1051" s="295" t="s">
        <v>411</v>
      </c>
      <c r="Z1051" s="296" t="s">
        <v>4</v>
      </c>
      <c r="AA1051" s="296" t="s">
        <v>4</v>
      </c>
      <c r="AB1051" s="348" t="s">
        <v>242</v>
      </c>
      <c r="AC1051" s="323"/>
      <c r="AD1051" s="459">
        <f t="shared" ref="AD1051:AF1052" si="230">AD1052</f>
        <v>1612</v>
      </c>
      <c r="AE1051" s="428">
        <f t="shared" si="230"/>
        <v>1614</v>
      </c>
      <c r="AF1051" s="438">
        <f t="shared" si="230"/>
        <v>1616</v>
      </c>
    </row>
    <row r="1052" spans="24:33" s="3" customFormat="1" ht="31.5" x14ac:dyDescent="0.25">
      <c r="X1052" s="307" t="s">
        <v>536</v>
      </c>
      <c r="Y1052" s="295" t="s">
        <v>411</v>
      </c>
      <c r="Z1052" s="296" t="s">
        <v>4</v>
      </c>
      <c r="AA1052" s="296" t="s">
        <v>4</v>
      </c>
      <c r="AB1052" s="348" t="s">
        <v>243</v>
      </c>
      <c r="AC1052" s="323"/>
      <c r="AD1052" s="459">
        <f t="shared" si="230"/>
        <v>1612</v>
      </c>
      <c r="AE1052" s="428">
        <f t="shared" si="230"/>
        <v>1614</v>
      </c>
      <c r="AF1052" s="438">
        <f t="shared" si="230"/>
        <v>1616</v>
      </c>
    </row>
    <row r="1053" spans="24:33" s="3" customFormat="1" ht="31.5" x14ac:dyDescent="0.25">
      <c r="X1053" s="450" t="s">
        <v>324</v>
      </c>
      <c r="Y1053" s="295" t="s">
        <v>411</v>
      </c>
      <c r="Z1053" s="296" t="s">
        <v>4</v>
      </c>
      <c r="AA1053" s="296" t="s">
        <v>4</v>
      </c>
      <c r="AB1053" s="348" t="s">
        <v>538</v>
      </c>
      <c r="AC1053" s="297"/>
      <c r="AD1053" s="459">
        <f>AD1054+AD1056</f>
        <v>1612</v>
      </c>
      <c r="AE1053" s="428">
        <f>AE1054+AE1056</f>
        <v>1614</v>
      </c>
      <c r="AF1053" s="438">
        <f>AF1054+AF1056</f>
        <v>1616</v>
      </c>
    </row>
    <row r="1054" spans="24:33" s="3" customFormat="1" ht="47.25" x14ac:dyDescent="0.25">
      <c r="X1054" s="450" t="s">
        <v>40</v>
      </c>
      <c r="Y1054" s="295" t="s">
        <v>411</v>
      </c>
      <c r="Z1054" s="296" t="s">
        <v>4</v>
      </c>
      <c r="AA1054" s="296" t="s">
        <v>4</v>
      </c>
      <c r="AB1054" s="348" t="s">
        <v>538</v>
      </c>
      <c r="AC1054" s="297">
        <v>100</v>
      </c>
      <c r="AD1054" s="459">
        <f>AD1055</f>
        <v>1541</v>
      </c>
      <c r="AE1054" s="428">
        <f>AE1055</f>
        <v>1541</v>
      </c>
      <c r="AF1054" s="438">
        <f>AF1055</f>
        <v>1541</v>
      </c>
    </row>
    <row r="1055" spans="24:33" s="3" customFormat="1" x14ac:dyDescent="0.25">
      <c r="X1055" s="450" t="s">
        <v>94</v>
      </c>
      <c r="Y1055" s="295" t="s">
        <v>411</v>
      </c>
      <c r="Z1055" s="296" t="s">
        <v>4</v>
      </c>
      <c r="AA1055" s="296" t="s">
        <v>4</v>
      </c>
      <c r="AB1055" s="348" t="s">
        <v>538</v>
      </c>
      <c r="AC1055" s="297">
        <v>120</v>
      </c>
      <c r="AD1055" s="459">
        <v>1541</v>
      </c>
      <c r="AE1055" s="428">
        <v>1541</v>
      </c>
      <c r="AF1055" s="438">
        <v>1541</v>
      </c>
    </row>
    <row r="1056" spans="24:33" s="3" customFormat="1" x14ac:dyDescent="0.25">
      <c r="X1056" s="450" t="s">
        <v>118</v>
      </c>
      <c r="Y1056" s="295" t="s">
        <v>411</v>
      </c>
      <c r="Z1056" s="296" t="s">
        <v>4</v>
      </c>
      <c r="AA1056" s="296" t="s">
        <v>4</v>
      </c>
      <c r="AB1056" s="348" t="s">
        <v>538</v>
      </c>
      <c r="AC1056" s="297">
        <v>200</v>
      </c>
      <c r="AD1056" s="459">
        <f>AD1057</f>
        <v>71</v>
      </c>
      <c r="AE1056" s="428">
        <f>AE1057</f>
        <v>73</v>
      </c>
      <c r="AF1056" s="438">
        <f>AF1057</f>
        <v>75</v>
      </c>
    </row>
    <row r="1057" spans="24:33" s="3" customFormat="1" ht="31.5" x14ac:dyDescent="0.25">
      <c r="X1057" s="450" t="s">
        <v>51</v>
      </c>
      <c r="Y1057" s="295" t="s">
        <v>411</v>
      </c>
      <c r="Z1057" s="296" t="s">
        <v>4</v>
      </c>
      <c r="AA1057" s="296" t="s">
        <v>4</v>
      </c>
      <c r="AB1057" s="348" t="s">
        <v>538</v>
      </c>
      <c r="AC1057" s="297">
        <v>240</v>
      </c>
      <c r="AD1057" s="459">
        <v>71</v>
      </c>
      <c r="AE1057" s="428">
        <v>73</v>
      </c>
      <c r="AF1057" s="438">
        <v>75</v>
      </c>
    </row>
    <row r="1058" spans="24:33" s="3" customFormat="1" x14ac:dyDescent="0.25">
      <c r="X1058" s="299" t="s">
        <v>187</v>
      </c>
      <c r="Y1058" s="295" t="s">
        <v>411</v>
      </c>
      <c r="Z1058" s="296" t="s">
        <v>4</v>
      </c>
      <c r="AA1058" s="296" t="s">
        <v>4</v>
      </c>
      <c r="AB1058" s="348" t="s">
        <v>318</v>
      </c>
      <c r="AC1058" s="297"/>
      <c r="AD1058" s="459">
        <f t="shared" ref="AD1058:AF1059" si="231">AD1059</f>
        <v>29216.400000000001</v>
      </c>
      <c r="AE1058" s="428">
        <f t="shared" si="231"/>
        <v>28507.899999999998</v>
      </c>
      <c r="AF1058" s="438">
        <f t="shared" si="231"/>
        <v>28507.899999999998</v>
      </c>
    </row>
    <row r="1059" spans="24:33" s="3" customFormat="1" ht="31.5" x14ac:dyDescent="0.25">
      <c r="X1059" s="299" t="s">
        <v>189</v>
      </c>
      <c r="Y1059" s="295" t="s">
        <v>411</v>
      </c>
      <c r="Z1059" s="296" t="s">
        <v>4</v>
      </c>
      <c r="AA1059" s="296" t="s">
        <v>4</v>
      </c>
      <c r="AB1059" s="348" t="s">
        <v>320</v>
      </c>
      <c r="AC1059" s="323"/>
      <c r="AD1059" s="459">
        <f>AD1060</f>
        <v>29216.400000000001</v>
      </c>
      <c r="AE1059" s="428">
        <f t="shared" si="231"/>
        <v>28507.899999999998</v>
      </c>
      <c r="AF1059" s="438">
        <f t="shared" si="231"/>
        <v>28507.899999999998</v>
      </c>
    </row>
    <row r="1060" spans="24:33" s="3" customFormat="1" x14ac:dyDescent="0.25">
      <c r="X1060" s="307" t="s">
        <v>203</v>
      </c>
      <c r="Y1060" s="295" t="s">
        <v>411</v>
      </c>
      <c r="Z1060" s="296" t="s">
        <v>4</v>
      </c>
      <c r="AA1060" s="296" t="s">
        <v>4</v>
      </c>
      <c r="AB1060" s="348" t="s">
        <v>539</v>
      </c>
      <c r="AC1060" s="323"/>
      <c r="AD1060" s="459">
        <f>AD1061+AD1066+AD1069</f>
        <v>29216.400000000001</v>
      </c>
      <c r="AE1060" s="428">
        <f>AE1061+AE1066+AE1069</f>
        <v>28507.899999999998</v>
      </c>
      <c r="AF1060" s="438">
        <f>AF1061+AF1066+AF1069</f>
        <v>28507.899999999998</v>
      </c>
      <c r="AG1060" s="16"/>
    </row>
    <row r="1061" spans="24:33" s="3" customFormat="1" ht="31.5" x14ac:dyDescent="0.25">
      <c r="X1061" s="294" t="s">
        <v>204</v>
      </c>
      <c r="Y1061" s="295" t="s">
        <v>411</v>
      </c>
      <c r="Z1061" s="296" t="s">
        <v>4</v>
      </c>
      <c r="AA1061" s="296" t="s">
        <v>4</v>
      </c>
      <c r="AB1061" s="348" t="s">
        <v>540</v>
      </c>
      <c r="AC1061" s="297"/>
      <c r="AD1061" s="459">
        <f>AD1062+AD1064</f>
        <v>2285.8999999999996</v>
      </c>
      <c r="AE1061" s="459">
        <f>AE1062+AE1064</f>
        <v>2325.6</v>
      </c>
      <c r="AF1061" s="459">
        <f>AF1062+AF1064</f>
        <v>2325.6</v>
      </c>
      <c r="AG1061" s="16"/>
    </row>
    <row r="1062" spans="24:33" s="3" customFormat="1" x14ac:dyDescent="0.25">
      <c r="X1062" s="294" t="s">
        <v>118</v>
      </c>
      <c r="Y1062" s="295" t="s">
        <v>411</v>
      </c>
      <c r="Z1062" s="296" t="s">
        <v>4</v>
      </c>
      <c r="AA1062" s="296" t="s">
        <v>4</v>
      </c>
      <c r="AB1062" s="348" t="s">
        <v>540</v>
      </c>
      <c r="AC1062" s="297">
        <v>200</v>
      </c>
      <c r="AD1062" s="459">
        <f>AD1063</f>
        <v>2280.7999999999997</v>
      </c>
      <c r="AE1062" s="428">
        <f>AE1063</f>
        <v>2325.6</v>
      </c>
      <c r="AF1062" s="438">
        <f>AF1063</f>
        <v>2325.6</v>
      </c>
      <c r="AG1062" s="16"/>
    </row>
    <row r="1063" spans="24:33" s="3" customFormat="1" ht="31.5" x14ac:dyDescent="0.25">
      <c r="X1063" s="294" t="s">
        <v>51</v>
      </c>
      <c r="Y1063" s="295" t="s">
        <v>411</v>
      </c>
      <c r="Z1063" s="296" t="s">
        <v>4</v>
      </c>
      <c r="AA1063" s="296" t="s">
        <v>4</v>
      </c>
      <c r="AB1063" s="348" t="s">
        <v>540</v>
      </c>
      <c r="AC1063" s="297">
        <v>240</v>
      </c>
      <c r="AD1063" s="459">
        <f>2325.6-39.8-5</f>
        <v>2280.7999999999997</v>
      </c>
      <c r="AE1063" s="428">
        <v>2325.6</v>
      </c>
      <c r="AF1063" s="438">
        <v>2325.6</v>
      </c>
      <c r="AG1063" s="16"/>
    </row>
    <row r="1064" spans="24:33" s="3" customFormat="1" x14ac:dyDescent="0.25">
      <c r="X1064" s="294" t="s">
        <v>41</v>
      </c>
      <c r="Y1064" s="295" t="s">
        <v>411</v>
      </c>
      <c r="Z1064" s="296" t="s">
        <v>4</v>
      </c>
      <c r="AA1064" s="296" t="s">
        <v>4</v>
      </c>
      <c r="AB1064" s="348" t="s">
        <v>540</v>
      </c>
      <c r="AC1064" s="297">
        <v>800</v>
      </c>
      <c r="AD1064" s="459">
        <f>AD1065</f>
        <v>5.0999999999999996</v>
      </c>
      <c r="AE1064" s="459">
        <f>AE1065</f>
        <v>0</v>
      </c>
      <c r="AF1064" s="459">
        <f>AF1065</f>
        <v>0</v>
      </c>
      <c r="AG1064" s="16"/>
    </row>
    <row r="1065" spans="24:33" s="3" customFormat="1" x14ac:dyDescent="0.25">
      <c r="X1065" s="294" t="s">
        <v>56</v>
      </c>
      <c r="Y1065" s="295" t="s">
        <v>411</v>
      </c>
      <c r="Z1065" s="296" t="s">
        <v>4</v>
      </c>
      <c r="AA1065" s="296" t="s">
        <v>4</v>
      </c>
      <c r="AB1065" s="348" t="s">
        <v>540</v>
      </c>
      <c r="AC1065" s="297">
        <v>850</v>
      </c>
      <c r="AD1065" s="459">
        <f>0.1+5</f>
        <v>5.0999999999999996</v>
      </c>
      <c r="AE1065" s="428">
        <v>0</v>
      </c>
      <c r="AF1065" s="438">
        <v>0</v>
      </c>
      <c r="AG1065" s="16"/>
    </row>
    <row r="1066" spans="24:33" s="3" customFormat="1" ht="31.5" x14ac:dyDescent="0.25">
      <c r="X1066" s="294" t="s">
        <v>205</v>
      </c>
      <c r="Y1066" s="295" t="s">
        <v>411</v>
      </c>
      <c r="Z1066" s="296" t="s">
        <v>4</v>
      </c>
      <c r="AA1066" s="296" t="s">
        <v>4</v>
      </c>
      <c r="AB1066" s="348" t="s">
        <v>541</v>
      </c>
      <c r="AC1066" s="297"/>
      <c r="AD1066" s="459">
        <f t="shared" ref="AD1066:AF1067" si="232">AD1067</f>
        <v>17192.5</v>
      </c>
      <c r="AE1066" s="428">
        <f t="shared" si="232"/>
        <v>16444.3</v>
      </c>
      <c r="AF1066" s="438">
        <f t="shared" si="232"/>
        <v>16444.3</v>
      </c>
      <c r="AG1066" s="16"/>
    </row>
    <row r="1067" spans="24:33" s="3" customFormat="1" ht="47.25" x14ac:dyDescent="0.25">
      <c r="X1067" s="294" t="s">
        <v>40</v>
      </c>
      <c r="Y1067" s="295" t="s">
        <v>411</v>
      </c>
      <c r="Z1067" s="296" t="s">
        <v>4</v>
      </c>
      <c r="AA1067" s="296" t="s">
        <v>4</v>
      </c>
      <c r="AB1067" s="348" t="s">
        <v>541</v>
      </c>
      <c r="AC1067" s="297">
        <v>100</v>
      </c>
      <c r="AD1067" s="459">
        <f t="shared" si="232"/>
        <v>17192.5</v>
      </c>
      <c r="AE1067" s="428">
        <f t="shared" si="232"/>
        <v>16444.3</v>
      </c>
      <c r="AF1067" s="438">
        <f t="shared" si="232"/>
        <v>16444.3</v>
      </c>
      <c r="AG1067" s="16"/>
    </row>
    <row r="1068" spans="24:33" s="3" customFormat="1" x14ac:dyDescent="0.25">
      <c r="X1068" s="294" t="s">
        <v>94</v>
      </c>
      <c r="Y1068" s="295" t="s">
        <v>411</v>
      </c>
      <c r="Z1068" s="296" t="s">
        <v>4</v>
      </c>
      <c r="AA1068" s="296" t="s">
        <v>4</v>
      </c>
      <c r="AB1068" s="348" t="s">
        <v>541</v>
      </c>
      <c r="AC1068" s="297">
        <v>120</v>
      </c>
      <c r="AD1068" s="459">
        <f>16444.3-0.1+748.3</f>
        <v>17192.5</v>
      </c>
      <c r="AE1068" s="428">
        <v>16444.3</v>
      </c>
      <c r="AF1068" s="438">
        <v>16444.3</v>
      </c>
      <c r="AG1068" s="190"/>
    </row>
    <row r="1069" spans="24:33" s="3" customFormat="1" ht="31.5" x14ac:dyDescent="0.25">
      <c r="X1069" s="294" t="s">
        <v>206</v>
      </c>
      <c r="Y1069" s="295" t="s">
        <v>411</v>
      </c>
      <c r="Z1069" s="296" t="s">
        <v>4</v>
      </c>
      <c r="AA1069" s="296" t="s">
        <v>4</v>
      </c>
      <c r="AB1069" s="348" t="s">
        <v>542</v>
      </c>
      <c r="AC1069" s="297"/>
      <c r="AD1069" s="459">
        <f t="shared" ref="AD1069:AF1070" si="233">AD1070</f>
        <v>9738</v>
      </c>
      <c r="AE1069" s="428">
        <f t="shared" si="233"/>
        <v>9738</v>
      </c>
      <c r="AF1069" s="438">
        <f t="shared" si="233"/>
        <v>9738</v>
      </c>
      <c r="AG1069" s="16"/>
    </row>
    <row r="1070" spans="24:33" s="3" customFormat="1" ht="47.25" x14ac:dyDescent="0.25">
      <c r="X1070" s="294" t="s">
        <v>40</v>
      </c>
      <c r="Y1070" s="295" t="s">
        <v>411</v>
      </c>
      <c r="Z1070" s="296" t="s">
        <v>4</v>
      </c>
      <c r="AA1070" s="296" t="s">
        <v>4</v>
      </c>
      <c r="AB1070" s="348" t="s">
        <v>542</v>
      </c>
      <c r="AC1070" s="297">
        <v>100</v>
      </c>
      <c r="AD1070" s="459">
        <f t="shared" si="233"/>
        <v>9738</v>
      </c>
      <c r="AE1070" s="428">
        <f t="shared" si="233"/>
        <v>9738</v>
      </c>
      <c r="AF1070" s="438">
        <f t="shared" si="233"/>
        <v>9738</v>
      </c>
      <c r="AG1070" s="16"/>
    </row>
    <row r="1071" spans="24:33" s="3" customFormat="1" x14ac:dyDescent="0.25">
      <c r="X1071" s="294" t="s">
        <v>94</v>
      </c>
      <c r="Y1071" s="295" t="s">
        <v>411</v>
      </c>
      <c r="Z1071" s="296" t="s">
        <v>4</v>
      </c>
      <c r="AA1071" s="296" t="s">
        <v>4</v>
      </c>
      <c r="AB1071" s="348" t="s">
        <v>542</v>
      </c>
      <c r="AC1071" s="297">
        <v>120</v>
      </c>
      <c r="AD1071" s="459">
        <v>9738</v>
      </c>
      <c r="AE1071" s="428">
        <v>9738</v>
      </c>
      <c r="AF1071" s="438">
        <v>9738</v>
      </c>
      <c r="AG1071" s="16"/>
    </row>
    <row r="1072" spans="24:33" s="3" customFormat="1" x14ac:dyDescent="0.25">
      <c r="X1072" s="445" t="s">
        <v>38</v>
      </c>
      <c r="Y1072" s="291" t="s">
        <v>411</v>
      </c>
      <c r="Z1072" s="312" t="s">
        <v>93</v>
      </c>
      <c r="AA1072" s="296"/>
      <c r="AB1072" s="347"/>
      <c r="AC1072" s="297"/>
      <c r="AD1072" s="458">
        <f>AD1073</f>
        <v>824970</v>
      </c>
      <c r="AE1072" s="427">
        <f t="shared" ref="AD1072:AF1073" si="234">AE1073</f>
        <v>0</v>
      </c>
      <c r="AF1072" s="437">
        <f t="shared" si="234"/>
        <v>0</v>
      </c>
      <c r="AG1072" s="16"/>
    </row>
    <row r="1073" spans="24:33" s="3" customFormat="1" x14ac:dyDescent="0.25">
      <c r="X1073" s="294" t="s">
        <v>90</v>
      </c>
      <c r="Y1073" s="295" t="s">
        <v>411</v>
      </c>
      <c r="Z1073" s="315" t="s">
        <v>93</v>
      </c>
      <c r="AA1073" s="296" t="s">
        <v>29</v>
      </c>
      <c r="AB1073" s="347"/>
      <c r="AC1073" s="297"/>
      <c r="AD1073" s="459">
        <f t="shared" si="234"/>
        <v>824970</v>
      </c>
      <c r="AE1073" s="428">
        <f t="shared" si="234"/>
        <v>0</v>
      </c>
      <c r="AF1073" s="438">
        <f t="shared" si="234"/>
        <v>0</v>
      </c>
      <c r="AG1073" s="16"/>
    </row>
    <row r="1074" spans="24:33" s="3" customFormat="1" ht="31.5" x14ac:dyDescent="0.25">
      <c r="X1074" s="301" t="s">
        <v>586</v>
      </c>
      <c r="Y1074" s="295" t="s">
        <v>411</v>
      </c>
      <c r="Z1074" s="315" t="s">
        <v>93</v>
      </c>
      <c r="AA1074" s="296" t="s">
        <v>29</v>
      </c>
      <c r="AB1074" s="348" t="s">
        <v>109</v>
      </c>
      <c r="AC1074" s="297"/>
      <c r="AD1074" s="459">
        <f>AD1075</f>
        <v>824970</v>
      </c>
      <c r="AE1074" s="428">
        <f>AE1075+AE982</f>
        <v>0</v>
      </c>
      <c r="AF1074" s="438">
        <f>AF1075+AF982</f>
        <v>0</v>
      </c>
      <c r="AG1074" s="16"/>
    </row>
    <row r="1075" spans="24:33" s="3" customFormat="1" x14ac:dyDescent="0.25">
      <c r="X1075" s="301" t="s">
        <v>578</v>
      </c>
      <c r="Y1075" s="295" t="s">
        <v>411</v>
      </c>
      <c r="Z1075" s="315" t="s">
        <v>93</v>
      </c>
      <c r="AA1075" s="296" t="s">
        <v>29</v>
      </c>
      <c r="AB1075" s="348" t="s">
        <v>579</v>
      </c>
      <c r="AC1075" s="297"/>
      <c r="AD1075" s="459">
        <f>AD1076</f>
        <v>824970</v>
      </c>
      <c r="AE1075" s="428">
        <f>AE1080</f>
        <v>0</v>
      </c>
      <c r="AF1075" s="438">
        <f>AF1080</f>
        <v>0</v>
      </c>
      <c r="AG1075" s="16"/>
    </row>
    <row r="1076" spans="24:33" s="3" customFormat="1" ht="46.5" customHeight="1" x14ac:dyDescent="0.25">
      <c r="X1076" s="301" t="s">
        <v>742</v>
      </c>
      <c r="Y1076" s="295" t="s">
        <v>411</v>
      </c>
      <c r="Z1076" s="315" t="s">
        <v>93</v>
      </c>
      <c r="AA1076" s="296" t="s">
        <v>29</v>
      </c>
      <c r="AB1076" s="348" t="s">
        <v>743</v>
      </c>
      <c r="AC1076" s="297"/>
      <c r="AD1076" s="459">
        <f>AD1080+AD1077</f>
        <v>824970</v>
      </c>
      <c r="AE1076" s="428">
        <f>AE1080+AE1077</f>
        <v>0</v>
      </c>
      <c r="AF1076" s="438">
        <f>AF1080+AF1077</f>
        <v>0</v>
      </c>
      <c r="AG1076" s="16"/>
    </row>
    <row r="1077" spans="24:33" s="3" customFormat="1" ht="29.25" customHeight="1" x14ac:dyDescent="0.25">
      <c r="X1077" s="301" t="s">
        <v>740</v>
      </c>
      <c r="Y1077" s="295" t="s">
        <v>411</v>
      </c>
      <c r="Z1077" s="315" t="s">
        <v>93</v>
      </c>
      <c r="AA1077" s="296" t="s">
        <v>29</v>
      </c>
      <c r="AB1077" s="348" t="s">
        <v>741</v>
      </c>
      <c r="AC1077" s="297"/>
      <c r="AD1077" s="459">
        <f t="shared" ref="AD1077:AF1078" si="235">AD1078</f>
        <v>10</v>
      </c>
      <c r="AE1077" s="428">
        <f t="shared" si="235"/>
        <v>0</v>
      </c>
      <c r="AF1077" s="438">
        <f t="shared" si="235"/>
        <v>0</v>
      </c>
      <c r="AG1077" s="16"/>
    </row>
    <row r="1078" spans="24:33" s="3" customFormat="1" x14ac:dyDescent="0.25">
      <c r="X1078" s="294" t="s">
        <v>118</v>
      </c>
      <c r="Y1078" s="295" t="s">
        <v>411</v>
      </c>
      <c r="Z1078" s="315" t="s">
        <v>93</v>
      </c>
      <c r="AA1078" s="296" t="s">
        <v>29</v>
      </c>
      <c r="AB1078" s="348" t="s">
        <v>741</v>
      </c>
      <c r="AC1078" s="297">
        <v>200</v>
      </c>
      <c r="AD1078" s="459">
        <f t="shared" si="235"/>
        <v>10</v>
      </c>
      <c r="AE1078" s="428">
        <f t="shared" si="235"/>
        <v>0</v>
      </c>
      <c r="AF1078" s="438">
        <f t="shared" si="235"/>
        <v>0</v>
      </c>
      <c r="AG1078" s="16"/>
    </row>
    <row r="1079" spans="24:33" s="3" customFormat="1" ht="31.5" x14ac:dyDescent="0.25">
      <c r="X1079" s="294" t="s">
        <v>51</v>
      </c>
      <c r="Y1079" s="295" t="s">
        <v>411</v>
      </c>
      <c r="Z1079" s="315" t="s">
        <v>93</v>
      </c>
      <c r="AA1079" s="296" t="s">
        <v>29</v>
      </c>
      <c r="AB1079" s="348" t="s">
        <v>741</v>
      </c>
      <c r="AC1079" s="297">
        <v>240</v>
      </c>
      <c r="AD1079" s="459">
        <v>10</v>
      </c>
      <c r="AE1079" s="428">
        <v>0</v>
      </c>
      <c r="AF1079" s="438">
        <v>0</v>
      </c>
      <c r="AG1079" s="16"/>
    </row>
    <row r="1080" spans="24:33" s="3" customFormat="1" ht="53.25" customHeight="1" x14ac:dyDescent="0.25">
      <c r="X1080" s="449" t="s">
        <v>760</v>
      </c>
      <c r="Y1080" s="295" t="s">
        <v>411</v>
      </c>
      <c r="Z1080" s="315" t="s">
        <v>93</v>
      </c>
      <c r="AA1080" s="296" t="s">
        <v>29</v>
      </c>
      <c r="AB1080" s="348" t="s">
        <v>761</v>
      </c>
      <c r="AC1080" s="314"/>
      <c r="AD1080" s="459">
        <f t="shared" ref="AD1080:AF1081" si="236">AD1081</f>
        <v>824960</v>
      </c>
      <c r="AE1080" s="428">
        <f t="shared" si="236"/>
        <v>0</v>
      </c>
      <c r="AF1080" s="438">
        <f t="shared" si="236"/>
        <v>0</v>
      </c>
      <c r="AG1080" s="16"/>
    </row>
    <row r="1081" spans="24:33" s="3" customFormat="1" x14ac:dyDescent="0.25">
      <c r="X1081" s="294" t="s">
        <v>151</v>
      </c>
      <c r="Y1081" s="295" t="s">
        <v>411</v>
      </c>
      <c r="Z1081" s="315" t="s">
        <v>93</v>
      </c>
      <c r="AA1081" s="296" t="s">
        <v>29</v>
      </c>
      <c r="AB1081" s="348" t="s">
        <v>761</v>
      </c>
      <c r="AC1081" s="314" t="s">
        <v>152</v>
      </c>
      <c r="AD1081" s="459">
        <f t="shared" si="236"/>
        <v>824960</v>
      </c>
      <c r="AE1081" s="428">
        <f t="shared" si="236"/>
        <v>0</v>
      </c>
      <c r="AF1081" s="438">
        <f t="shared" si="236"/>
        <v>0</v>
      </c>
    </row>
    <row r="1082" spans="24:33" s="3" customFormat="1" x14ac:dyDescent="0.25">
      <c r="X1082" s="294" t="s">
        <v>8</v>
      </c>
      <c r="Y1082" s="295" t="s">
        <v>411</v>
      </c>
      <c r="Z1082" s="315" t="s">
        <v>93</v>
      </c>
      <c r="AA1082" s="296" t="s">
        <v>29</v>
      </c>
      <c r="AB1082" s="348" t="s">
        <v>761</v>
      </c>
      <c r="AC1082" s="314" t="s">
        <v>153</v>
      </c>
      <c r="AD1082" s="459">
        <f>816710.4+8249.6</f>
        <v>824960</v>
      </c>
      <c r="AE1082" s="428">
        <v>0</v>
      </c>
      <c r="AF1082" s="438">
        <v>0</v>
      </c>
    </row>
    <row r="1083" spans="24:33" s="3" customFormat="1" x14ac:dyDescent="0.25">
      <c r="X1083" s="445" t="s">
        <v>92</v>
      </c>
      <c r="Y1083" s="291" t="s">
        <v>411</v>
      </c>
      <c r="Z1083" s="312" t="s">
        <v>35</v>
      </c>
      <c r="AA1083" s="312"/>
      <c r="AB1083" s="345"/>
      <c r="AC1083" s="293"/>
      <c r="AD1083" s="458">
        <f>AD1084+AD1098+AD1091</f>
        <v>17310.8</v>
      </c>
      <c r="AE1083" s="427">
        <f>AE1084+AE1098+AE1091</f>
        <v>33751.9</v>
      </c>
      <c r="AF1083" s="437">
        <f>AF1084+AF1098+AF1091</f>
        <v>31152</v>
      </c>
    </row>
    <row r="1084" spans="24:33" s="3" customFormat="1" x14ac:dyDescent="0.25">
      <c r="X1084" s="294" t="s">
        <v>54</v>
      </c>
      <c r="Y1084" s="295" t="s">
        <v>411</v>
      </c>
      <c r="Z1084" s="296">
        <v>10</v>
      </c>
      <c r="AA1084" s="296" t="s">
        <v>28</v>
      </c>
      <c r="AB1084" s="347"/>
      <c r="AC1084" s="293"/>
      <c r="AD1084" s="459">
        <f t="shared" ref="AD1084:AF1089" si="237">AD1085</f>
        <v>1031.5</v>
      </c>
      <c r="AE1084" s="428">
        <f t="shared" si="237"/>
        <v>1031.5</v>
      </c>
      <c r="AF1084" s="438">
        <f t="shared" si="237"/>
        <v>1031.5</v>
      </c>
    </row>
    <row r="1085" spans="24:33" s="3" customFormat="1" x14ac:dyDescent="0.25">
      <c r="X1085" s="299" t="s">
        <v>290</v>
      </c>
      <c r="Y1085" s="295" t="s">
        <v>411</v>
      </c>
      <c r="Z1085" s="296">
        <v>10</v>
      </c>
      <c r="AA1085" s="296" t="s">
        <v>28</v>
      </c>
      <c r="AB1085" s="348" t="s">
        <v>107</v>
      </c>
      <c r="AC1085" s="293"/>
      <c r="AD1085" s="459">
        <f t="shared" si="237"/>
        <v>1031.5</v>
      </c>
      <c r="AE1085" s="428">
        <f t="shared" si="237"/>
        <v>1031.5</v>
      </c>
      <c r="AF1085" s="438">
        <f t="shared" si="237"/>
        <v>1031.5</v>
      </c>
    </row>
    <row r="1086" spans="24:33" s="3" customFormat="1" x14ac:dyDescent="0.25">
      <c r="X1086" s="299" t="s">
        <v>291</v>
      </c>
      <c r="Y1086" s="295" t="s">
        <v>411</v>
      </c>
      <c r="Z1086" s="296">
        <v>10</v>
      </c>
      <c r="AA1086" s="296" t="s">
        <v>28</v>
      </c>
      <c r="AB1086" s="348" t="s">
        <v>116</v>
      </c>
      <c r="AC1086" s="293"/>
      <c r="AD1086" s="459">
        <f t="shared" si="237"/>
        <v>1031.5</v>
      </c>
      <c r="AE1086" s="428">
        <f t="shared" si="237"/>
        <v>1031.5</v>
      </c>
      <c r="AF1086" s="438">
        <f t="shared" si="237"/>
        <v>1031.5</v>
      </c>
    </row>
    <row r="1087" spans="24:33" s="3" customFormat="1" ht="31.5" x14ac:dyDescent="0.25">
      <c r="X1087" s="299" t="s">
        <v>292</v>
      </c>
      <c r="Y1087" s="295" t="s">
        <v>411</v>
      </c>
      <c r="Z1087" s="296">
        <v>10</v>
      </c>
      <c r="AA1087" s="296" t="s">
        <v>28</v>
      </c>
      <c r="AB1087" s="348" t="s">
        <v>460</v>
      </c>
      <c r="AC1087" s="293"/>
      <c r="AD1087" s="459">
        <f t="shared" si="237"/>
        <v>1031.5</v>
      </c>
      <c r="AE1087" s="428">
        <f t="shared" si="237"/>
        <v>1031.5</v>
      </c>
      <c r="AF1087" s="438">
        <f t="shared" si="237"/>
        <v>1031.5</v>
      </c>
    </row>
    <row r="1088" spans="24:33" s="3" customFormat="1" ht="31.5" x14ac:dyDescent="0.25">
      <c r="X1088" s="307" t="s">
        <v>293</v>
      </c>
      <c r="Y1088" s="295" t="s">
        <v>411</v>
      </c>
      <c r="Z1088" s="296">
        <v>10</v>
      </c>
      <c r="AA1088" s="296" t="s">
        <v>28</v>
      </c>
      <c r="AB1088" s="348" t="s">
        <v>459</v>
      </c>
      <c r="AC1088" s="293"/>
      <c r="AD1088" s="459">
        <f t="shared" si="237"/>
        <v>1031.5</v>
      </c>
      <c r="AE1088" s="428">
        <f t="shared" si="237"/>
        <v>1031.5</v>
      </c>
      <c r="AF1088" s="438">
        <f t="shared" si="237"/>
        <v>1031.5</v>
      </c>
    </row>
    <row r="1089" spans="24:32" s="3" customFormat="1" x14ac:dyDescent="0.25">
      <c r="X1089" s="294" t="s">
        <v>95</v>
      </c>
      <c r="Y1089" s="295" t="s">
        <v>411</v>
      </c>
      <c r="Z1089" s="296">
        <v>10</v>
      </c>
      <c r="AA1089" s="296" t="s">
        <v>28</v>
      </c>
      <c r="AB1089" s="348" t="s">
        <v>459</v>
      </c>
      <c r="AC1089" s="297">
        <v>300</v>
      </c>
      <c r="AD1089" s="459">
        <f t="shared" si="237"/>
        <v>1031.5</v>
      </c>
      <c r="AE1089" s="428">
        <f t="shared" si="237"/>
        <v>1031.5</v>
      </c>
      <c r="AF1089" s="438">
        <f t="shared" si="237"/>
        <v>1031.5</v>
      </c>
    </row>
    <row r="1090" spans="24:32" s="3" customFormat="1" x14ac:dyDescent="0.25">
      <c r="X1090" s="294" t="s">
        <v>39</v>
      </c>
      <c r="Y1090" s="295" t="s">
        <v>411</v>
      </c>
      <c r="Z1090" s="296">
        <v>10</v>
      </c>
      <c r="AA1090" s="296" t="s">
        <v>28</v>
      </c>
      <c r="AB1090" s="348" t="s">
        <v>459</v>
      </c>
      <c r="AC1090" s="297">
        <v>320</v>
      </c>
      <c r="AD1090" s="459">
        <v>1031.5</v>
      </c>
      <c r="AE1090" s="428">
        <v>1031.5</v>
      </c>
      <c r="AF1090" s="438">
        <v>1031.5</v>
      </c>
    </row>
    <row r="1091" spans="24:32" s="3" customFormat="1" x14ac:dyDescent="0.25">
      <c r="X1091" s="294" t="s">
        <v>57</v>
      </c>
      <c r="Y1091" s="295" t="s">
        <v>411</v>
      </c>
      <c r="Z1091" s="296">
        <v>10</v>
      </c>
      <c r="AA1091" s="296" t="s">
        <v>6</v>
      </c>
      <c r="AB1091" s="348"/>
      <c r="AC1091" s="297"/>
      <c r="AD1091" s="459">
        <f t="shared" ref="AD1091:AD1096" si="238">AD1092</f>
        <v>0</v>
      </c>
      <c r="AE1091" s="428">
        <f t="shared" ref="AE1091:AF1093" si="239">AE1092</f>
        <v>2990</v>
      </c>
      <c r="AF1091" s="438">
        <f t="shared" si="239"/>
        <v>0</v>
      </c>
    </row>
    <row r="1092" spans="24:32" s="3" customFormat="1" x14ac:dyDescent="0.25">
      <c r="X1092" s="299" t="s">
        <v>179</v>
      </c>
      <c r="Y1092" s="295" t="s">
        <v>411</v>
      </c>
      <c r="Z1092" s="296">
        <v>10</v>
      </c>
      <c r="AA1092" s="296" t="s">
        <v>6</v>
      </c>
      <c r="AB1092" s="348" t="s">
        <v>114</v>
      </c>
      <c r="AC1092" s="297"/>
      <c r="AD1092" s="459">
        <f t="shared" si="238"/>
        <v>0</v>
      </c>
      <c r="AE1092" s="428">
        <f t="shared" si="239"/>
        <v>2990</v>
      </c>
      <c r="AF1092" s="438">
        <f t="shared" si="239"/>
        <v>0</v>
      </c>
    </row>
    <row r="1093" spans="24:32" s="3" customFormat="1" ht="31.5" x14ac:dyDescent="0.25">
      <c r="X1093" s="294" t="s">
        <v>660</v>
      </c>
      <c r="Y1093" s="295" t="s">
        <v>411</v>
      </c>
      <c r="Z1093" s="296">
        <v>10</v>
      </c>
      <c r="AA1093" s="296" t="s">
        <v>6</v>
      </c>
      <c r="AB1093" s="348" t="s">
        <v>661</v>
      </c>
      <c r="AC1093" s="297"/>
      <c r="AD1093" s="459">
        <f t="shared" si="238"/>
        <v>0</v>
      </c>
      <c r="AE1093" s="428">
        <f t="shared" si="239"/>
        <v>2990</v>
      </c>
      <c r="AF1093" s="438">
        <f t="shared" si="239"/>
        <v>0</v>
      </c>
    </row>
    <row r="1094" spans="24:32" s="3" customFormat="1" ht="47.25" x14ac:dyDescent="0.25">
      <c r="X1094" s="294" t="s">
        <v>663</v>
      </c>
      <c r="Y1094" s="295" t="s">
        <v>411</v>
      </c>
      <c r="Z1094" s="296">
        <v>10</v>
      </c>
      <c r="AA1094" s="296" t="s">
        <v>6</v>
      </c>
      <c r="AB1094" s="348" t="s">
        <v>662</v>
      </c>
      <c r="AC1094" s="297"/>
      <c r="AD1094" s="459">
        <f t="shared" si="238"/>
        <v>0</v>
      </c>
      <c r="AE1094" s="428">
        <f t="shared" ref="AE1094:AF1096" si="240">AE1095</f>
        <v>2990</v>
      </c>
      <c r="AF1094" s="438">
        <f t="shared" si="240"/>
        <v>0</v>
      </c>
    </row>
    <row r="1095" spans="24:32" s="3" customFormat="1" ht="47.25" x14ac:dyDescent="0.25">
      <c r="X1095" s="294" t="s">
        <v>665</v>
      </c>
      <c r="Y1095" s="295" t="s">
        <v>411</v>
      </c>
      <c r="Z1095" s="296">
        <v>10</v>
      </c>
      <c r="AA1095" s="296" t="s">
        <v>6</v>
      </c>
      <c r="AB1095" s="348" t="s">
        <v>664</v>
      </c>
      <c r="AC1095" s="297"/>
      <c r="AD1095" s="459">
        <f t="shared" si="238"/>
        <v>0</v>
      </c>
      <c r="AE1095" s="428">
        <f t="shared" si="240"/>
        <v>2990</v>
      </c>
      <c r="AF1095" s="438">
        <f t="shared" si="240"/>
        <v>0</v>
      </c>
    </row>
    <row r="1096" spans="24:32" s="3" customFormat="1" x14ac:dyDescent="0.25">
      <c r="X1096" s="294" t="s">
        <v>95</v>
      </c>
      <c r="Y1096" s="295" t="s">
        <v>411</v>
      </c>
      <c r="Z1096" s="296">
        <v>10</v>
      </c>
      <c r="AA1096" s="296" t="s">
        <v>6</v>
      </c>
      <c r="AB1096" s="348" t="s">
        <v>664</v>
      </c>
      <c r="AC1096" s="297">
        <v>300</v>
      </c>
      <c r="AD1096" s="459">
        <f t="shared" si="238"/>
        <v>0</v>
      </c>
      <c r="AE1096" s="428">
        <f t="shared" si="240"/>
        <v>2990</v>
      </c>
      <c r="AF1096" s="438">
        <f t="shared" si="240"/>
        <v>0</v>
      </c>
    </row>
    <row r="1097" spans="24:32" s="3" customFormat="1" x14ac:dyDescent="0.25">
      <c r="X1097" s="294" t="s">
        <v>39</v>
      </c>
      <c r="Y1097" s="295" t="s">
        <v>411</v>
      </c>
      <c r="Z1097" s="296">
        <v>10</v>
      </c>
      <c r="AA1097" s="296" t="s">
        <v>6</v>
      </c>
      <c r="AB1097" s="348" t="s">
        <v>664</v>
      </c>
      <c r="AC1097" s="297">
        <v>320</v>
      </c>
      <c r="AD1097" s="459">
        <v>0</v>
      </c>
      <c r="AE1097" s="428">
        <v>2990</v>
      </c>
      <c r="AF1097" s="438">
        <v>0</v>
      </c>
    </row>
    <row r="1098" spans="24:32" s="3" customFormat="1" x14ac:dyDescent="0.25">
      <c r="X1098" s="294" t="s">
        <v>30</v>
      </c>
      <c r="Y1098" s="295" t="s">
        <v>411</v>
      </c>
      <c r="Z1098" s="296">
        <v>10</v>
      </c>
      <c r="AA1098" s="296" t="s">
        <v>48</v>
      </c>
      <c r="AB1098" s="347"/>
      <c r="AC1098" s="297"/>
      <c r="AD1098" s="459">
        <f t="shared" ref="AD1098:AF1100" si="241">AD1099</f>
        <v>16279.3</v>
      </c>
      <c r="AE1098" s="428">
        <f t="shared" si="241"/>
        <v>29730.400000000001</v>
      </c>
      <c r="AF1098" s="438">
        <f t="shared" si="241"/>
        <v>30120.5</v>
      </c>
    </row>
    <row r="1099" spans="24:32" s="3" customFormat="1" x14ac:dyDescent="0.25">
      <c r="X1099" s="299" t="s">
        <v>179</v>
      </c>
      <c r="Y1099" s="295" t="s">
        <v>411</v>
      </c>
      <c r="Z1099" s="296">
        <v>10</v>
      </c>
      <c r="AA1099" s="296" t="s">
        <v>48</v>
      </c>
      <c r="AB1099" s="348" t="s">
        <v>114</v>
      </c>
      <c r="AC1099" s="297"/>
      <c r="AD1099" s="459">
        <f t="shared" si="241"/>
        <v>16279.3</v>
      </c>
      <c r="AE1099" s="428">
        <f t="shared" si="241"/>
        <v>29730.400000000001</v>
      </c>
      <c r="AF1099" s="438">
        <f t="shared" si="241"/>
        <v>30120.5</v>
      </c>
    </row>
    <row r="1100" spans="24:32" s="3" customFormat="1" x14ac:dyDescent="0.25">
      <c r="X1100" s="299" t="s">
        <v>178</v>
      </c>
      <c r="Y1100" s="295" t="s">
        <v>411</v>
      </c>
      <c r="Z1100" s="296">
        <v>10</v>
      </c>
      <c r="AA1100" s="296" t="s">
        <v>48</v>
      </c>
      <c r="AB1100" s="348" t="s">
        <v>141</v>
      </c>
      <c r="AC1100" s="297"/>
      <c r="AD1100" s="459">
        <f t="shared" si="241"/>
        <v>16279.3</v>
      </c>
      <c r="AE1100" s="428">
        <f t="shared" si="241"/>
        <v>29730.400000000001</v>
      </c>
      <c r="AF1100" s="438">
        <f t="shared" si="241"/>
        <v>30120.5</v>
      </c>
    </row>
    <row r="1101" spans="24:32" s="3" customFormat="1" ht="47.25" x14ac:dyDescent="0.25">
      <c r="X1101" s="299" t="s">
        <v>420</v>
      </c>
      <c r="Y1101" s="295" t="s">
        <v>411</v>
      </c>
      <c r="Z1101" s="296">
        <v>10</v>
      </c>
      <c r="AA1101" s="296" t="s">
        <v>48</v>
      </c>
      <c r="AB1101" s="348" t="s">
        <v>140</v>
      </c>
      <c r="AC1101" s="297"/>
      <c r="AD1101" s="459">
        <f>AD1105+AD1102</f>
        <v>16279.3</v>
      </c>
      <c r="AE1101" s="428">
        <f>AE1105</f>
        <v>29730.400000000001</v>
      </c>
      <c r="AF1101" s="438">
        <f>AF1105</f>
        <v>30120.5</v>
      </c>
    </row>
    <row r="1102" spans="24:32" s="3" customFormat="1" ht="31.5" customHeight="1" x14ac:dyDescent="0.25">
      <c r="X1102" s="299" t="s">
        <v>815</v>
      </c>
      <c r="Y1102" s="295" t="s">
        <v>411</v>
      </c>
      <c r="Z1102" s="296">
        <v>10</v>
      </c>
      <c r="AA1102" s="296" t="s">
        <v>48</v>
      </c>
      <c r="AB1102" s="348" t="s">
        <v>816</v>
      </c>
      <c r="AC1102" s="297"/>
      <c r="AD1102" s="459">
        <f t="shared" ref="AD1102:AF1103" si="242">AD1103</f>
        <v>561.29999999999995</v>
      </c>
      <c r="AE1102" s="459">
        <f t="shared" si="242"/>
        <v>0</v>
      </c>
      <c r="AF1102" s="459">
        <f t="shared" si="242"/>
        <v>0</v>
      </c>
    </row>
    <row r="1103" spans="24:32" s="3" customFormat="1" x14ac:dyDescent="0.25">
      <c r="X1103" s="294" t="s">
        <v>95</v>
      </c>
      <c r="Y1103" s="295" t="s">
        <v>411</v>
      </c>
      <c r="Z1103" s="296">
        <v>10</v>
      </c>
      <c r="AA1103" s="296" t="s">
        <v>48</v>
      </c>
      <c r="AB1103" s="348" t="s">
        <v>816</v>
      </c>
      <c r="AC1103" s="297">
        <v>300</v>
      </c>
      <c r="AD1103" s="459">
        <f t="shared" si="242"/>
        <v>561.29999999999995</v>
      </c>
      <c r="AE1103" s="459">
        <f t="shared" si="242"/>
        <v>0</v>
      </c>
      <c r="AF1103" s="459">
        <f t="shared" si="242"/>
        <v>0</v>
      </c>
    </row>
    <row r="1104" spans="24:32" s="3" customFormat="1" x14ac:dyDescent="0.25">
      <c r="X1104" s="294" t="s">
        <v>23</v>
      </c>
      <c r="Y1104" s="295" t="s">
        <v>411</v>
      </c>
      <c r="Z1104" s="296">
        <v>10</v>
      </c>
      <c r="AA1104" s="296" t="s">
        <v>48</v>
      </c>
      <c r="AB1104" s="348" t="s">
        <v>816</v>
      </c>
      <c r="AC1104" s="297">
        <v>320</v>
      </c>
      <c r="AD1104" s="459">
        <v>561.29999999999995</v>
      </c>
      <c r="AE1104" s="428">
        <v>0</v>
      </c>
      <c r="AF1104" s="438">
        <v>0</v>
      </c>
    </row>
    <row r="1105" spans="1:35" x14ac:dyDescent="0.25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R1105" s="3"/>
      <c r="S1105" s="3"/>
      <c r="X1105" s="299" t="s">
        <v>176</v>
      </c>
      <c r="Y1105" s="295" t="s">
        <v>411</v>
      </c>
      <c r="Z1105" s="296">
        <v>10</v>
      </c>
      <c r="AA1105" s="296" t="s">
        <v>48</v>
      </c>
      <c r="AB1105" s="348" t="s">
        <v>177</v>
      </c>
      <c r="AC1105" s="297"/>
      <c r="AD1105" s="459">
        <f t="shared" ref="AD1105:AF1106" si="243">AD1106</f>
        <v>15718</v>
      </c>
      <c r="AE1105" s="428">
        <f t="shared" si="243"/>
        <v>29730.400000000001</v>
      </c>
      <c r="AF1105" s="438">
        <f t="shared" si="243"/>
        <v>30120.5</v>
      </c>
      <c r="AG1105" s="3"/>
      <c r="AH1105" s="3"/>
    </row>
    <row r="1106" spans="1:35" x14ac:dyDescent="0.25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R1106" s="3"/>
      <c r="S1106" s="3"/>
      <c r="X1106" s="294" t="s">
        <v>95</v>
      </c>
      <c r="Y1106" s="295" t="s">
        <v>411</v>
      </c>
      <c r="Z1106" s="296">
        <v>10</v>
      </c>
      <c r="AA1106" s="296" t="s">
        <v>48</v>
      </c>
      <c r="AB1106" s="348" t="s">
        <v>177</v>
      </c>
      <c r="AC1106" s="297">
        <v>300</v>
      </c>
      <c r="AD1106" s="459">
        <f t="shared" si="243"/>
        <v>15718</v>
      </c>
      <c r="AE1106" s="428">
        <f t="shared" si="243"/>
        <v>29730.400000000001</v>
      </c>
      <c r="AF1106" s="438">
        <f t="shared" si="243"/>
        <v>30120.5</v>
      </c>
      <c r="AG1106" s="3"/>
      <c r="AH1106" s="3"/>
    </row>
    <row r="1107" spans="1:35" x14ac:dyDescent="0.25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R1107" s="3"/>
      <c r="S1107" s="3"/>
      <c r="X1107" s="294" t="s">
        <v>23</v>
      </c>
      <c r="Y1107" s="295" t="s">
        <v>411</v>
      </c>
      <c r="Z1107" s="296">
        <v>10</v>
      </c>
      <c r="AA1107" s="296" t="s">
        <v>48</v>
      </c>
      <c r="AB1107" s="348" t="s">
        <v>177</v>
      </c>
      <c r="AC1107" s="297">
        <v>320</v>
      </c>
      <c r="AD1107" s="459">
        <f>8688+7030</f>
        <v>15718</v>
      </c>
      <c r="AE1107" s="428">
        <f>16426.2+13304.2</f>
        <v>29730.400000000001</v>
      </c>
      <c r="AF1107" s="441">
        <f>16695+13425.5</f>
        <v>30120.5</v>
      </c>
      <c r="AG1107" s="3"/>
      <c r="AH1107" s="3"/>
    </row>
    <row r="1108" spans="1:35" x14ac:dyDescent="0.25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R1108" s="3"/>
      <c r="S1108" s="3"/>
      <c r="X1108" s="445" t="s">
        <v>12</v>
      </c>
      <c r="Y1108" s="291" t="s">
        <v>411</v>
      </c>
      <c r="Z1108" s="321">
        <v>11</v>
      </c>
      <c r="AA1108" s="312"/>
      <c r="AB1108" s="345"/>
      <c r="AC1108" s="297"/>
      <c r="AD1108" s="459">
        <f t="shared" ref="AD1108:AF1109" si="244">AD1109</f>
        <v>5405</v>
      </c>
      <c r="AE1108" s="428">
        <f t="shared" si="244"/>
        <v>0</v>
      </c>
      <c r="AF1108" s="438">
        <f t="shared" si="244"/>
        <v>0</v>
      </c>
      <c r="AG1108" s="3"/>
      <c r="AH1108" s="3"/>
    </row>
    <row r="1109" spans="1:35" x14ac:dyDescent="0.25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R1109" s="3"/>
      <c r="S1109" s="3"/>
      <c r="X1109" s="294" t="s">
        <v>34</v>
      </c>
      <c r="Y1109" s="308" t="s">
        <v>411</v>
      </c>
      <c r="Z1109" s="296">
        <v>11</v>
      </c>
      <c r="AA1109" s="296" t="s">
        <v>29</v>
      </c>
      <c r="AB1109" s="348"/>
      <c r="AC1109" s="297"/>
      <c r="AD1109" s="459">
        <f t="shared" si="244"/>
        <v>5405</v>
      </c>
      <c r="AE1109" s="428">
        <f t="shared" si="244"/>
        <v>0</v>
      </c>
      <c r="AF1109" s="438">
        <f t="shared" si="244"/>
        <v>0</v>
      </c>
      <c r="AG1109" s="3"/>
      <c r="AH1109" s="3"/>
    </row>
    <row r="1110" spans="1:35" s="73" customFormat="1" x14ac:dyDescent="0.25">
      <c r="A1110" s="53"/>
      <c r="B1110" s="54"/>
      <c r="C1110" s="54"/>
      <c r="D1110" s="56"/>
      <c r="E1110" s="57"/>
      <c r="F1110" s="57"/>
      <c r="G1110" s="58"/>
      <c r="H1110" s="58"/>
      <c r="I1110" s="58"/>
      <c r="J1110" s="58"/>
      <c r="K1110" s="58"/>
      <c r="L1110" s="58"/>
      <c r="M1110" s="58"/>
      <c r="N1110" s="58"/>
      <c r="O1110" s="59"/>
      <c r="P1110" s="58"/>
      <c r="Q1110" s="60"/>
      <c r="R1110" s="61"/>
      <c r="S1110" s="61"/>
      <c r="T1110" s="61"/>
      <c r="U1110" s="61"/>
      <c r="V1110" s="61"/>
      <c r="W1110" s="61"/>
      <c r="X1110" s="301" t="s">
        <v>155</v>
      </c>
      <c r="Y1110" s="295" t="s">
        <v>411</v>
      </c>
      <c r="Z1110" s="296">
        <v>11</v>
      </c>
      <c r="AA1110" s="296" t="s">
        <v>29</v>
      </c>
      <c r="AB1110" s="348" t="s">
        <v>113</v>
      </c>
      <c r="AC1110" s="372"/>
      <c r="AD1110" s="459">
        <f t="shared" ref="AD1110:AF1112" si="245">AD1111</f>
        <v>5405</v>
      </c>
      <c r="AE1110" s="428">
        <f t="shared" si="245"/>
        <v>0</v>
      </c>
      <c r="AF1110" s="438">
        <f t="shared" si="245"/>
        <v>0</v>
      </c>
      <c r="AG1110" s="19"/>
      <c r="AH1110" s="19"/>
      <c r="AI1110" s="113"/>
    </row>
    <row r="1111" spans="1:35" s="73" customFormat="1" x14ac:dyDescent="0.25">
      <c r="A1111" s="53"/>
      <c r="B1111" s="54"/>
      <c r="C1111" s="54"/>
      <c r="D1111" s="56"/>
      <c r="E1111" s="57"/>
      <c r="F1111" s="57"/>
      <c r="G1111" s="58"/>
      <c r="H1111" s="58"/>
      <c r="I1111" s="58"/>
      <c r="J1111" s="58"/>
      <c r="K1111" s="58"/>
      <c r="L1111" s="58"/>
      <c r="M1111" s="58"/>
      <c r="N1111" s="58"/>
      <c r="O1111" s="59"/>
      <c r="P1111" s="58"/>
      <c r="Q1111" s="60"/>
      <c r="R1111" s="61"/>
      <c r="S1111" s="61"/>
      <c r="T1111" s="61"/>
      <c r="U1111" s="61"/>
      <c r="V1111" s="61"/>
      <c r="W1111" s="61"/>
      <c r="X1111" s="301" t="s">
        <v>156</v>
      </c>
      <c r="Y1111" s="295" t="s">
        <v>411</v>
      </c>
      <c r="Z1111" s="296">
        <v>11</v>
      </c>
      <c r="AA1111" s="296" t="s">
        <v>29</v>
      </c>
      <c r="AB1111" s="348" t="s">
        <v>117</v>
      </c>
      <c r="AC1111" s="372"/>
      <c r="AD1111" s="459">
        <f t="shared" si="245"/>
        <v>5405</v>
      </c>
      <c r="AE1111" s="428">
        <f t="shared" si="245"/>
        <v>0</v>
      </c>
      <c r="AF1111" s="438">
        <f t="shared" si="245"/>
        <v>0</v>
      </c>
      <c r="AG1111" s="19"/>
      <c r="AH1111" s="19"/>
      <c r="AI1111" s="113"/>
    </row>
    <row r="1112" spans="1:35" x14ac:dyDescent="0.25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R1112" s="3"/>
      <c r="S1112" s="3"/>
      <c r="X1112" s="294" t="s">
        <v>675</v>
      </c>
      <c r="Y1112" s="295" t="s">
        <v>411</v>
      </c>
      <c r="Z1112" s="296">
        <v>11</v>
      </c>
      <c r="AA1112" s="296" t="s">
        <v>29</v>
      </c>
      <c r="AB1112" s="348" t="s">
        <v>676</v>
      </c>
      <c r="AC1112" s="297"/>
      <c r="AD1112" s="459">
        <f>AD1113</f>
        <v>5405</v>
      </c>
      <c r="AE1112" s="428">
        <f t="shared" si="245"/>
        <v>0</v>
      </c>
      <c r="AF1112" s="438">
        <f t="shared" si="245"/>
        <v>0</v>
      </c>
      <c r="AG1112" s="3"/>
      <c r="AH1112" s="3"/>
    </row>
    <row r="1113" spans="1:35" x14ac:dyDescent="0.25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R1113" s="3"/>
      <c r="S1113" s="3"/>
      <c r="X1113" s="294" t="s">
        <v>677</v>
      </c>
      <c r="Y1113" s="295" t="s">
        <v>411</v>
      </c>
      <c r="Z1113" s="296">
        <v>11</v>
      </c>
      <c r="AA1113" s="296" t="s">
        <v>29</v>
      </c>
      <c r="AB1113" s="348" t="s">
        <v>678</v>
      </c>
      <c r="AC1113" s="297"/>
      <c r="AD1113" s="459">
        <f>AD1114</f>
        <v>5405</v>
      </c>
      <c r="AE1113" s="428">
        <f>AE1114</f>
        <v>0</v>
      </c>
      <c r="AF1113" s="438">
        <f>AF1114</f>
        <v>0</v>
      </c>
      <c r="AG1113" s="3"/>
      <c r="AH1113" s="3"/>
    </row>
    <row r="1114" spans="1:35" x14ac:dyDescent="0.25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R1114" s="3"/>
      <c r="S1114" s="3"/>
      <c r="X1114" s="294" t="s">
        <v>118</v>
      </c>
      <c r="Y1114" s="295" t="s">
        <v>411</v>
      </c>
      <c r="Z1114" s="296">
        <v>11</v>
      </c>
      <c r="AA1114" s="296" t="s">
        <v>29</v>
      </c>
      <c r="AB1114" s="348" t="s">
        <v>678</v>
      </c>
      <c r="AC1114" s="297">
        <v>200</v>
      </c>
      <c r="AD1114" s="459">
        <f>AD1115</f>
        <v>5405</v>
      </c>
      <c r="AE1114" s="428">
        <f>AE1115</f>
        <v>0</v>
      </c>
      <c r="AF1114" s="438">
        <f>AF1115</f>
        <v>0</v>
      </c>
      <c r="AG1114" s="3"/>
      <c r="AH1114" s="3"/>
    </row>
    <row r="1115" spans="1:35" ht="24.75" customHeight="1" x14ac:dyDescent="0.25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R1115" s="3"/>
      <c r="S1115" s="3"/>
      <c r="X1115" s="294" t="s">
        <v>51</v>
      </c>
      <c r="Y1115" s="295" t="s">
        <v>411</v>
      </c>
      <c r="Z1115" s="296">
        <v>11</v>
      </c>
      <c r="AA1115" s="296" t="s">
        <v>29</v>
      </c>
      <c r="AB1115" s="348" t="s">
        <v>678</v>
      </c>
      <c r="AC1115" s="297">
        <v>240</v>
      </c>
      <c r="AD1115" s="459">
        <v>5405</v>
      </c>
      <c r="AE1115" s="428">
        <v>0</v>
      </c>
      <c r="AF1115" s="441">
        <v>0</v>
      </c>
      <c r="AG1115" s="3"/>
      <c r="AH1115" s="3"/>
    </row>
    <row r="1116" spans="1:35" ht="18.75" x14ac:dyDescent="0.3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R1116" s="3"/>
      <c r="S1116" s="3"/>
      <c r="X1116" s="445" t="s">
        <v>413</v>
      </c>
      <c r="Y1116" s="291">
        <v>904</v>
      </c>
      <c r="Z1116" s="322"/>
      <c r="AA1116" s="318"/>
      <c r="AB1116" s="347"/>
      <c r="AC1116" s="375"/>
      <c r="AD1116" s="458">
        <f>AD1117+AD1139</f>
        <v>11879.400000000001</v>
      </c>
      <c r="AE1116" s="427">
        <f>AE1117+AE1139</f>
        <v>11471.400000000001</v>
      </c>
      <c r="AF1116" s="437">
        <f>AF1117+AF1139</f>
        <v>11476.400000000001</v>
      </c>
      <c r="AG1116" s="3"/>
      <c r="AH1116" s="3"/>
    </row>
    <row r="1117" spans="1:35" x14ac:dyDescent="0.25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R1117" s="3"/>
      <c r="S1117" s="3"/>
      <c r="X1117" s="445" t="s">
        <v>24</v>
      </c>
      <c r="Y1117" s="291">
        <v>904</v>
      </c>
      <c r="Z1117" s="292" t="s">
        <v>28</v>
      </c>
      <c r="AA1117" s="346"/>
      <c r="AB1117" s="345"/>
      <c r="AC1117" s="317"/>
      <c r="AD1117" s="458">
        <f>AD1118</f>
        <v>11246.400000000001</v>
      </c>
      <c r="AE1117" s="427">
        <f>AE1118</f>
        <v>10838.400000000001</v>
      </c>
      <c r="AF1117" s="437">
        <f>AF1118</f>
        <v>10843.400000000001</v>
      </c>
      <c r="AG1117" s="3"/>
      <c r="AH1117" s="3"/>
    </row>
    <row r="1118" spans="1:35" ht="31.5" x14ac:dyDescent="0.25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R1118" s="3"/>
      <c r="S1118" s="3"/>
      <c r="X1118" s="294" t="s">
        <v>406</v>
      </c>
      <c r="Y1118" s="295">
        <v>904</v>
      </c>
      <c r="Z1118" s="296" t="s">
        <v>28</v>
      </c>
      <c r="AA1118" s="296" t="s">
        <v>93</v>
      </c>
      <c r="AB1118" s="345"/>
      <c r="AC1118" s="317"/>
      <c r="AD1118" s="459">
        <f>AD1119+AD1125</f>
        <v>11246.400000000001</v>
      </c>
      <c r="AE1118" s="428">
        <f>AE1119+AE1125</f>
        <v>10838.400000000001</v>
      </c>
      <c r="AF1118" s="438">
        <f>AF1119+AF1125</f>
        <v>10843.400000000001</v>
      </c>
      <c r="AG1118" s="3"/>
      <c r="AH1118" s="3"/>
    </row>
    <row r="1119" spans="1:35" x14ac:dyDescent="0.25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R1119" s="3"/>
      <c r="S1119" s="3"/>
      <c r="X1119" s="182" t="s">
        <v>184</v>
      </c>
      <c r="Y1119" s="295">
        <v>904</v>
      </c>
      <c r="Z1119" s="296" t="s">
        <v>28</v>
      </c>
      <c r="AA1119" s="296" t="s">
        <v>93</v>
      </c>
      <c r="AB1119" s="348" t="s">
        <v>110</v>
      </c>
      <c r="AC1119" s="317"/>
      <c r="AD1119" s="459">
        <f t="shared" ref="AD1119:AF1123" si="246">AD1120</f>
        <v>107</v>
      </c>
      <c r="AE1119" s="428">
        <f t="shared" si="246"/>
        <v>75</v>
      </c>
      <c r="AF1119" s="438">
        <f t="shared" si="246"/>
        <v>80</v>
      </c>
      <c r="AG1119" s="3"/>
      <c r="AH1119" s="3"/>
    </row>
    <row r="1120" spans="1:35" x14ac:dyDescent="0.25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R1120" s="3"/>
      <c r="S1120" s="3"/>
      <c r="X1120" s="182" t="s">
        <v>187</v>
      </c>
      <c r="Y1120" s="295">
        <v>904</v>
      </c>
      <c r="Z1120" s="296" t="s">
        <v>28</v>
      </c>
      <c r="AA1120" s="296" t="s">
        <v>93</v>
      </c>
      <c r="AB1120" s="348" t="s">
        <v>188</v>
      </c>
      <c r="AC1120" s="317"/>
      <c r="AD1120" s="459">
        <f t="shared" si="246"/>
        <v>107</v>
      </c>
      <c r="AE1120" s="428">
        <f t="shared" si="246"/>
        <v>75</v>
      </c>
      <c r="AF1120" s="438">
        <f t="shared" si="246"/>
        <v>80</v>
      </c>
      <c r="AG1120" s="3"/>
      <c r="AH1120" s="3"/>
    </row>
    <row r="1121" spans="24:33" s="3" customFormat="1" ht="31.5" x14ac:dyDescent="0.25">
      <c r="X1121" s="294" t="s">
        <v>529</v>
      </c>
      <c r="Y1121" s="295">
        <v>904</v>
      </c>
      <c r="Z1121" s="296" t="s">
        <v>28</v>
      </c>
      <c r="AA1121" s="296" t="s">
        <v>93</v>
      </c>
      <c r="AB1121" s="348" t="s">
        <v>530</v>
      </c>
      <c r="AC1121" s="297"/>
      <c r="AD1121" s="459">
        <f t="shared" si="246"/>
        <v>107</v>
      </c>
      <c r="AE1121" s="428">
        <f t="shared" si="246"/>
        <v>75</v>
      </c>
      <c r="AF1121" s="438">
        <f t="shared" si="246"/>
        <v>80</v>
      </c>
    </row>
    <row r="1122" spans="24:33" s="3" customFormat="1" ht="78.75" x14ac:dyDescent="0.25">
      <c r="X1122" s="294" t="s">
        <v>401</v>
      </c>
      <c r="Y1122" s="295">
        <v>904</v>
      </c>
      <c r="Z1122" s="296" t="s">
        <v>28</v>
      </c>
      <c r="AA1122" s="296" t="s">
        <v>93</v>
      </c>
      <c r="AB1122" s="348" t="s">
        <v>531</v>
      </c>
      <c r="AC1122" s="297"/>
      <c r="AD1122" s="459">
        <f t="shared" si="246"/>
        <v>107</v>
      </c>
      <c r="AE1122" s="428">
        <f t="shared" si="246"/>
        <v>75</v>
      </c>
      <c r="AF1122" s="438">
        <f t="shared" si="246"/>
        <v>80</v>
      </c>
    </row>
    <row r="1123" spans="24:33" s="3" customFormat="1" x14ac:dyDescent="0.25">
      <c r="X1123" s="294" t="s">
        <v>118</v>
      </c>
      <c r="Y1123" s="295">
        <v>904</v>
      </c>
      <c r="Z1123" s="296" t="s">
        <v>28</v>
      </c>
      <c r="AA1123" s="296" t="s">
        <v>93</v>
      </c>
      <c r="AB1123" s="348" t="s">
        <v>531</v>
      </c>
      <c r="AC1123" s="297">
        <v>200</v>
      </c>
      <c r="AD1123" s="459">
        <f t="shared" si="246"/>
        <v>107</v>
      </c>
      <c r="AE1123" s="428">
        <f t="shared" si="246"/>
        <v>75</v>
      </c>
      <c r="AF1123" s="438">
        <f t="shared" si="246"/>
        <v>80</v>
      </c>
    </row>
    <row r="1124" spans="24:33" s="3" customFormat="1" ht="19.5" customHeight="1" x14ac:dyDescent="0.25">
      <c r="X1124" s="294" t="s">
        <v>51</v>
      </c>
      <c r="Y1124" s="295">
        <v>904</v>
      </c>
      <c r="Z1124" s="296" t="s">
        <v>28</v>
      </c>
      <c r="AA1124" s="296" t="s">
        <v>93</v>
      </c>
      <c r="AB1124" s="348" t="s">
        <v>531</v>
      </c>
      <c r="AC1124" s="297">
        <v>240</v>
      </c>
      <c r="AD1124" s="459">
        <f>70+26+11</f>
        <v>107</v>
      </c>
      <c r="AE1124" s="428">
        <v>75</v>
      </c>
      <c r="AF1124" s="438">
        <v>80</v>
      </c>
    </row>
    <row r="1125" spans="24:33" s="3" customFormat="1" ht="17.25" customHeight="1" x14ac:dyDescent="0.25">
      <c r="X1125" s="299" t="s">
        <v>272</v>
      </c>
      <c r="Y1125" s="295">
        <v>904</v>
      </c>
      <c r="Z1125" s="296" t="s">
        <v>28</v>
      </c>
      <c r="AA1125" s="296" t="s">
        <v>93</v>
      </c>
      <c r="AB1125" s="348" t="s">
        <v>97</v>
      </c>
      <c r="AC1125" s="297"/>
      <c r="AD1125" s="459">
        <f>AD1126</f>
        <v>11139.400000000001</v>
      </c>
      <c r="AE1125" s="428">
        <f>AE1126</f>
        <v>10763.400000000001</v>
      </c>
      <c r="AF1125" s="438">
        <f>AF1126</f>
        <v>10763.400000000001</v>
      </c>
    </row>
    <row r="1126" spans="24:33" s="3" customFormat="1" x14ac:dyDescent="0.25">
      <c r="X1126" s="307" t="s">
        <v>270</v>
      </c>
      <c r="Y1126" s="295">
        <v>904</v>
      </c>
      <c r="Z1126" s="296" t="s">
        <v>28</v>
      </c>
      <c r="AA1126" s="296" t="s">
        <v>93</v>
      </c>
      <c r="AB1126" s="348" t="s">
        <v>271</v>
      </c>
      <c r="AC1126" s="297"/>
      <c r="AD1126" s="459">
        <f>AD1127+AD1133+AD1130+AD1136</f>
        <v>11139.400000000001</v>
      </c>
      <c r="AE1126" s="428">
        <f>AE1127+AE1133+AE1130+AE1136</f>
        <v>10763.400000000001</v>
      </c>
      <c r="AF1126" s="438">
        <f>AF1127+AF1133+AF1130+AF1136</f>
        <v>10763.400000000001</v>
      </c>
    </row>
    <row r="1127" spans="24:33" s="3" customFormat="1" x14ac:dyDescent="0.25">
      <c r="X1127" s="294" t="s">
        <v>273</v>
      </c>
      <c r="Y1127" s="295">
        <v>904</v>
      </c>
      <c r="Z1127" s="296" t="s">
        <v>28</v>
      </c>
      <c r="AA1127" s="296" t="s">
        <v>93</v>
      </c>
      <c r="AB1127" s="348" t="s">
        <v>274</v>
      </c>
      <c r="AC1127" s="297"/>
      <c r="AD1127" s="459">
        <f t="shared" ref="AD1127:AF1128" si="247">AD1128</f>
        <v>1311.2</v>
      </c>
      <c r="AE1127" s="428">
        <f t="shared" si="247"/>
        <v>1348.2</v>
      </c>
      <c r="AF1127" s="438">
        <f t="shared" si="247"/>
        <v>1348.2</v>
      </c>
      <c r="AG1127" s="16"/>
    </row>
    <row r="1128" spans="24:33" s="3" customFormat="1" x14ac:dyDescent="0.25">
      <c r="X1128" s="294" t="s">
        <v>118</v>
      </c>
      <c r="Y1128" s="295">
        <v>904</v>
      </c>
      <c r="Z1128" s="296" t="s">
        <v>28</v>
      </c>
      <c r="AA1128" s="296" t="s">
        <v>93</v>
      </c>
      <c r="AB1128" s="348" t="s">
        <v>274</v>
      </c>
      <c r="AC1128" s="297">
        <v>200</v>
      </c>
      <c r="AD1128" s="459">
        <f t="shared" si="247"/>
        <v>1311.2</v>
      </c>
      <c r="AE1128" s="428">
        <f t="shared" si="247"/>
        <v>1348.2</v>
      </c>
      <c r="AF1128" s="438">
        <f t="shared" si="247"/>
        <v>1348.2</v>
      </c>
      <c r="AG1128" s="16"/>
    </row>
    <row r="1129" spans="24:33" s="3" customFormat="1" ht="21" customHeight="1" x14ac:dyDescent="0.25">
      <c r="X1129" s="294" t="s">
        <v>51</v>
      </c>
      <c r="Y1129" s="295">
        <v>904</v>
      </c>
      <c r="Z1129" s="296" t="s">
        <v>28</v>
      </c>
      <c r="AA1129" s="296" t="s">
        <v>93</v>
      </c>
      <c r="AB1129" s="348" t="s">
        <v>274</v>
      </c>
      <c r="AC1129" s="297">
        <v>240</v>
      </c>
      <c r="AD1129" s="459">
        <f>1348.2-26-11</f>
        <v>1311.2</v>
      </c>
      <c r="AE1129" s="428">
        <v>1348.2</v>
      </c>
      <c r="AF1129" s="438">
        <v>1348.2</v>
      </c>
      <c r="AG1129" s="16"/>
    </row>
    <row r="1130" spans="24:33" s="3" customFormat="1" ht="31.5" x14ac:dyDescent="0.25">
      <c r="X1130" s="294" t="s">
        <v>275</v>
      </c>
      <c r="Y1130" s="295">
        <v>904</v>
      </c>
      <c r="Z1130" s="296" t="s">
        <v>28</v>
      </c>
      <c r="AA1130" s="296" t="s">
        <v>93</v>
      </c>
      <c r="AB1130" s="348" t="s">
        <v>276</v>
      </c>
      <c r="AC1130" s="297"/>
      <c r="AD1130" s="459">
        <f t="shared" ref="AD1130:AF1131" si="248">AD1131</f>
        <v>2423.4</v>
      </c>
      <c r="AE1130" s="428">
        <f t="shared" si="248"/>
        <v>2423.4</v>
      </c>
      <c r="AF1130" s="438">
        <f t="shared" si="248"/>
        <v>2423.4</v>
      </c>
      <c r="AG1130" s="16"/>
    </row>
    <row r="1131" spans="24:33" s="3" customFormat="1" ht="47.25" x14ac:dyDescent="0.25">
      <c r="X1131" s="294" t="s">
        <v>40</v>
      </c>
      <c r="Y1131" s="295">
        <v>904</v>
      </c>
      <c r="Z1131" s="296" t="s">
        <v>28</v>
      </c>
      <c r="AA1131" s="296" t="s">
        <v>93</v>
      </c>
      <c r="AB1131" s="348" t="s">
        <v>276</v>
      </c>
      <c r="AC1131" s="297">
        <v>100</v>
      </c>
      <c r="AD1131" s="459">
        <f t="shared" si="248"/>
        <v>2423.4</v>
      </c>
      <c r="AE1131" s="428">
        <f t="shared" si="248"/>
        <v>2423.4</v>
      </c>
      <c r="AF1131" s="438">
        <f t="shared" si="248"/>
        <v>2423.4</v>
      </c>
      <c r="AG1131" s="16"/>
    </row>
    <row r="1132" spans="24:33" s="3" customFormat="1" x14ac:dyDescent="0.25">
      <c r="X1132" s="294" t="s">
        <v>94</v>
      </c>
      <c r="Y1132" s="295">
        <v>904</v>
      </c>
      <c r="Z1132" s="296" t="s">
        <v>28</v>
      </c>
      <c r="AA1132" s="296" t="s">
        <v>93</v>
      </c>
      <c r="AB1132" s="348" t="s">
        <v>276</v>
      </c>
      <c r="AC1132" s="297">
        <v>120</v>
      </c>
      <c r="AD1132" s="459">
        <f>2423.4</f>
        <v>2423.4</v>
      </c>
      <c r="AE1132" s="428">
        <v>2423.4</v>
      </c>
      <c r="AF1132" s="438">
        <v>2423.4</v>
      </c>
      <c r="AG1132" s="16"/>
    </row>
    <row r="1133" spans="24:33" s="3" customFormat="1" ht="31.5" x14ac:dyDescent="0.25">
      <c r="X1133" s="294" t="s">
        <v>278</v>
      </c>
      <c r="Y1133" s="295">
        <v>904</v>
      </c>
      <c r="Z1133" s="296" t="s">
        <v>28</v>
      </c>
      <c r="AA1133" s="296" t="s">
        <v>93</v>
      </c>
      <c r="AB1133" s="348" t="s">
        <v>277</v>
      </c>
      <c r="AC1133" s="297"/>
      <c r="AD1133" s="459">
        <f t="shared" ref="AD1133:AF1134" si="249">AD1134</f>
        <v>4460</v>
      </c>
      <c r="AE1133" s="428">
        <f t="shared" si="249"/>
        <v>4460</v>
      </c>
      <c r="AF1133" s="438">
        <f t="shared" si="249"/>
        <v>4460</v>
      </c>
      <c r="AG1133" s="16"/>
    </row>
    <row r="1134" spans="24:33" s="3" customFormat="1" ht="47.25" x14ac:dyDescent="0.25">
      <c r="X1134" s="294" t="s">
        <v>40</v>
      </c>
      <c r="Y1134" s="295">
        <v>904</v>
      </c>
      <c r="Z1134" s="296" t="s">
        <v>28</v>
      </c>
      <c r="AA1134" s="296" t="s">
        <v>93</v>
      </c>
      <c r="AB1134" s="348" t="s">
        <v>277</v>
      </c>
      <c r="AC1134" s="297">
        <v>100</v>
      </c>
      <c r="AD1134" s="459">
        <f t="shared" si="249"/>
        <v>4460</v>
      </c>
      <c r="AE1134" s="428">
        <f t="shared" si="249"/>
        <v>4460</v>
      </c>
      <c r="AF1134" s="438">
        <f t="shared" si="249"/>
        <v>4460</v>
      </c>
      <c r="AG1134" s="16"/>
    </row>
    <row r="1135" spans="24:33" s="3" customFormat="1" x14ac:dyDescent="0.25">
      <c r="X1135" s="294" t="s">
        <v>94</v>
      </c>
      <c r="Y1135" s="295">
        <v>904</v>
      </c>
      <c r="Z1135" s="296" t="s">
        <v>28</v>
      </c>
      <c r="AA1135" s="296" t="s">
        <v>93</v>
      </c>
      <c r="AB1135" s="348" t="s">
        <v>277</v>
      </c>
      <c r="AC1135" s="297">
        <v>120</v>
      </c>
      <c r="AD1135" s="459">
        <f>4460</f>
        <v>4460</v>
      </c>
      <c r="AE1135" s="428">
        <v>4460</v>
      </c>
      <c r="AF1135" s="438">
        <v>4460</v>
      </c>
      <c r="AG1135" s="189"/>
    </row>
    <row r="1136" spans="24:33" s="3" customFormat="1" ht="31.5" x14ac:dyDescent="0.25">
      <c r="X1136" s="294" t="s">
        <v>414</v>
      </c>
      <c r="Y1136" s="295">
        <v>904</v>
      </c>
      <c r="Z1136" s="296" t="s">
        <v>28</v>
      </c>
      <c r="AA1136" s="296" t="s">
        <v>93</v>
      </c>
      <c r="AB1136" s="348" t="s">
        <v>399</v>
      </c>
      <c r="AC1136" s="297"/>
      <c r="AD1136" s="459">
        <f t="shared" ref="AD1136:AF1137" si="250">AD1137</f>
        <v>2944.8</v>
      </c>
      <c r="AE1136" s="428">
        <f t="shared" si="250"/>
        <v>2531.8000000000002</v>
      </c>
      <c r="AF1136" s="438">
        <f t="shared" si="250"/>
        <v>2531.8000000000002</v>
      </c>
      <c r="AG1136" s="16"/>
    </row>
    <row r="1137" spans="1:35" ht="47.25" x14ac:dyDescent="0.25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R1137" s="3"/>
      <c r="S1137" s="3"/>
      <c r="X1137" s="294" t="s">
        <v>40</v>
      </c>
      <c r="Y1137" s="295">
        <v>904</v>
      </c>
      <c r="Z1137" s="296" t="s">
        <v>28</v>
      </c>
      <c r="AA1137" s="296" t="s">
        <v>93</v>
      </c>
      <c r="AB1137" s="348" t="s">
        <v>399</v>
      </c>
      <c r="AC1137" s="297">
        <v>100</v>
      </c>
      <c r="AD1137" s="459">
        <f t="shared" si="250"/>
        <v>2944.8</v>
      </c>
      <c r="AE1137" s="428">
        <f t="shared" si="250"/>
        <v>2531.8000000000002</v>
      </c>
      <c r="AF1137" s="438">
        <f t="shared" si="250"/>
        <v>2531.8000000000002</v>
      </c>
      <c r="AH1137" s="3"/>
    </row>
    <row r="1138" spans="1:35" x14ac:dyDescent="0.25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R1138" s="3"/>
      <c r="S1138" s="3"/>
      <c r="X1138" s="294" t="s">
        <v>94</v>
      </c>
      <c r="Y1138" s="295">
        <v>904</v>
      </c>
      <c r="Z1138" s="296" t="s">
        <v>28</v>
      </c>
      <c r="AA1138" s="296" t="s">
        <v>93</v>
      </c>
      <c r="AB1138" s="348" t="s">
        <v>399</v>
      </c>
      <c r="AC1138" s="297">
        <v>120</v>
      </c>
      <c r="AD1138" s="459">
        <f>2531.8+413</f>
        <v>2944.8</v>
      </c>
      <c r="AE1138" s="428">
        <v>2531.8000000000002</v>
      </c>
      <c r="AF1138" s="438">
        <v>2531.8000000000002</v>
      </c>
      <c r="AH1138" s="3"/>
      <c r="AI1138" s="34" t="s">
        <v>773</v>
      </c>
    </row>
    <row r="1139" spans="1:35" x14ac:dyDescent="0.25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R1139" s="3"/>
      <c r="S1139" s="3"/>
      <c r="X1139" s="445" t="s">
        <v>92</v>
      </c>
      <c r="Y1139" s="291" t="s">
        <v>65</v>
      </c>
      <c r="Z1139" s="312" t="s">
        <v>35</v>
      </c>
      <c r="AA1139" s="346"/>
      <c r="AB1139" s="345"/>
      <c r="AC1139" s="317"/>
      <c r="AD1139" s="458">
        <f t="shared" ref="AD1139:AF1145" si="251">AD1140</f>
        <v>633</v>
      </c>
      <c r="AE1139" s="427">
        <f t="shared" si="251"/>
        <v>633</v>
      </c>
      <c r="AF1139" s="437">
        <f t="shared" si="251"/>
        <v>633</v>
      </c>
      <c r="AH1139" s="3"/>
    </row>
    <row r="1140" spans="1:35" x14ac:dyDescent="0.25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R1140" s="3"/>
      <c r="S1140" s="3"/>
      <c r="X1140" s="294" t="s">
        <v>54</v>
      </c>
      <c r="Y1140" s="295">
        <v>904</v>
      </c>
      <c r="Z1140" s="296">
        <v>10</v>
      </c>
      <c r="AA1140" s="296" t="s">
        <v>28</v>
      </c>
      <c r="AB1140" s="347"/>
      <c r="AC1140" s="293"/>
      <c r="AD1140" s="459">
        <f t="shared" si="251"/>
        <v>633</v>
      </c>
      <c r="AE1140" s="428">
        <f t="shared" si="251"/>
        <v>633</v>
      </c>
      <c r="AF1140" s="438">
        <f t="shared" si="251"/>
        <v>633</v>
      </c>
      <c r="AH1140" s="3"/>
    </row>
    <row r="1141" spans="1:35" x14ac:dyDescent="0.25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R1141" s="3"/>
      <c r="S1141" s="3"/>
      <c r="X1141" s="299" t="s">
        <v>290</v>
      </c>
      <c r="Y1141" s="295">
        <v>904</v>
      </c>
      <c r="Z1141" s="296">
        <v>10</v>
      </c>
      <c r="AA1141" s="296" t="s">
        <v>28</v>
      </c>
      <c r="AB1141" s="348" t="s">
        <v>107</v>
      </c>
      <c r="AC1141" s="293"/>
      <c r="AD1141" s="459">
        <f t="shared" si="251"/>
        <v>633</v>
      </c>
      <c r="AE1141" s="428">
        <f t="shared" si="251"/>
        <v>633</v>
      </c>
      <c r="AF1141" s="438">
        <f t="shared" si="251"/>
        <v>633</v>
      </c>
      <c r="AH1141" s="3"/>
    </row>
    <row r="1142" spans="1:35" x14ac:dyDescent="0.25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R1142" s="3"/>
      <c r="S1142" s="3"/>
      <c r="X1142" s="299" t="s">
        <v>291</v>
      </c>
      <c r="Y1142" s="295">
        <v>904</v>
      </c>
      <c r="Z1142" s="296">
        <v>10</v>
      </c>
      <c r="AA1142" s="296" t="s">
        <v>28</v>
      </c>
      <c r="AB1142" s="348" t="s">
        <v>116</v>
      </c>
      <c r="AC1142" s="293"/>
      <c r="AD1142" s="459">
        <f>AD1143</f>
        <v>633</v>
      </c>
      <c r="AE1142" s="428">
        <f>AE1143</f>
        <v>633</v>
      </c>
      <c r="AF1142" s="438">
        <f>AF1143</f>
        <v>633</v>
      </c>
      <c r="AH1142" s="3"/>
    </row>
    <row r="1143" spans="1:35" ht="31.5" x14ac:dyDescent="0.25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R1143" s="3"/>
      <c r="S1143" s="3"/>
      <c r="X1143" s="299" t="s">
        <v>292</v>
      </c>
      <c r="Y1143" s="295">
        <v>904</v>
      </c>
      <c r="Z1143" s="296">
        <v>10</v>
      </c>
      <c r="AA1143" s="296" t="s">
        <v>28</v>
      </c>
      <c r="AB1143" s="348" t="s">
        <v>460</v>
      </c>
      <c r="AC1143" s="293"/>
      <c r="AD1143" s="459">
        <f t="shared" si="251"/>
        <v>633</v>
      </c>
      <c r="AE1143" s="428">
        <f t="shared" si="251"/>
        <v>633</v>
      </c>
      <c r="AF1143" s="438">
        <f t="shared" si="251"/>
        <v>633</v>
      </c>
      <c r="AG1143" s="3"/>
      <c r="AH1143" s="3"/>
    </row>
    <row r="1144" spans="1:35" ht="31.5" x14ac:dyDescent="0.25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R1144" s="3"/>
      <c r="S1144" s="3"/>
      <c r="X1144" s="307" t="s">
        <v>293</v>
      </c>
      <c r="Y1144" s="295">
        <v>904</v>
      </c>
      <c r="Z1144" s="296">
        <v>10</v>
      </c>
      <c r="AA1144" s="296" t="s">
        <v>28</v>
      </c>
      <c r="AB1144" s="348" t="s">
        <v>459</v>
      </c>
      <c r="AC1144" s="293"/>
      <c r="AD1144" s="459">
        <f t="shared" si="251"/>
        <v>633</v>
      </c>
      <c r="AE1144" s="428">
        <f t="shared" si="251"/>
        <v>633</v>
      </c>
      <c r="AF1144" s="438">
        <f t="shared" si="251"/>
        <v>633</v>
      </c>
      <c r="AG1144" s="3"/>
      <c r="AH1144" s="3"/>
    </row>
    <row r="1145" spans="1:35" x14ac:dyDescent="0.25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R1145" s="3"/>
      <c r="S1145" s="3"/>
      <c r="X1145" s="294" t="s">
        <v>95</v>
      </c>
      <c r="Y1145" s="295">
        <v>904</v>
      </c>
      <c r="Z1145" s="296">
        <v>10</v>
      </c>
      <c r="AA1145" s="296" t="s">
        <v>28</v>
      </c>
      <c r="AB1145" s="348" t="s">
        <v>459</v>
      </c>
      <c r="AC1145" s="297">
        <v>300</v>
      </c>
      <c r="AD1145" s="459">
        <f t="shared" si="251"/>
        <v>633</v>
      </c>
      <c r="AE1145" s="428">
        <f t="shared" si="251"/>
        <v>633</v>
      </c>
      <c r="AF1145" s="438">
        <f t="shared" si="251"/>
        <v>633</v>
      </c>
      <c r="AG1145" s="3"/>
      <c r="AH1145" s="3"/>
    </row>
    <row r="1146" spans="1:35" ht="17.25" thickBot="1" x14ac:dyDescent="0.3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R1146" s="3"/>
      <c r="S1146" s="3"/>
      <c r="X1146" s="469" t="s">
        <v>39</v>
      </c>
      <c r="Y1146" s="470">
        <v>904</v>
      </c>
      <c r="Z1146" s="471">
        <v>10</v>
      </c>
      <c r="AA1146" s="471" t="s">
        <v>28</v>
      </c>
      <c r="AB1146" s="472" t="s">
        <v>459</v>
      </c>
      <c r="AC1146" s="473">
        <v>320</v>
      </c>
      <c r="AD1146" s="474">
        <v>633</v>
      </c>
      <c r="AE1146" s="475">
        <v>633</v>
      </c>
      <c r="AF1146" s="476">
        <v>633</v>
      </c>
      <c r="AG1146" s="3"/>
      <c r="AH1146" s="3"/>
    </row>
    <row r="1147" spans="1:35" ht="17.25" thickBot="1" x14ac:dyDescent="0.3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R1147" s="3"/>
      <c r="S1147" s="3"/>
      <c r="X1147" s="492" t="s">
        <v>55</v>
      </c>
      <c r="Y1147" s="494"/>
      <c r="Z1147" s="493"/>
      <c r="AA1147" s="477"/>
      <c r="AB1147" s="478"/>
      <c r="AC1147" s="479"/>
      <c r="AD1147" s="480">
        <f>AD1116+AD879+AD691+AD636+AD594+AD552+AD12</f>
        <v>5400574.2000000002</v>
      </c>
      <c r="AE1147" s="481">
        <f>AE1116+AE879+AE691+AE636+AE594+AE552+AE12</f>
        <v>3355666.3000000003</v>
      </c>
      <c r="AF1147" s="479">
        <f>AF1116+AF879+AF691+AF636+AF594+AF552+AF12</f>
        <v>3189048.2</v>
      </c>
      <c r="AG1147" s="3"/>
      <c r="AH1147" s="3"/>
    </row>
    <row r="1148" spans="1:35" x14ac:dyDescent="0.25">
      <c r="Y1148" s="491"/>
    </row>
    <row r="1150" spans="1:35" ht="16.899999999999999" customHeight="1" x14ac:dyDescent="0.25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R1150" s="3"/>
      <c r="S1150" s="3"/>
      <c r="AG1150" s="3"/>
      <c r="AH1150" s="3"/>
    </row>
  </sheetData>
  <mergeCells count="13">
    <mergeCell ref="AI210:AJ210"/>
    <mergeCell ref="AJ10:AL10"/>
    <mergeCell ref="AJ8:AL8"/>
    <mergeCell ref="AJ9:AL9"/>
    <mergeCell ref="AD2:AF2"/>
    <mergeCell ref="AD3:AF3"/>
    <mergeCell ref="AI6:AL7"/>
    <mergeCell ref="AD5:AF5"/>
    <mergeCell ref="A9:T9"/>
    <mergeCell ref="X9:AC9"/>
    <mergeCell ref="A8:T8"/>
    <mergeCell ref="X8:AF8"/>
    <mergeCell ref="AD6:AF6"/>
  </mergeCells>
  <phoneticPr fontId="0" type="noConversion"/>
  <pageMargins left="0.7" right="0.7" top="0.75" bottom="0.75" header="0.3" footer="0.3"/>
  <pageSetup paperSize="9" orientation="portrait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7</vt:i4>
      </vt:variant>
    </vt:vector>
  </HeadingPairs>
  <TitlesOfParts>
    <vt:vector size="13" baseType="lpstr">
      <vt:lpstr>Функц. 2025-2027</vt:lpstr>
      <vt:lpstr>Целевые 2025-2027</vt:lpstr>
      <vt:lpstr>Р., Пр.2025-2027</vt:lpstr>
      <vt:lpstr>ведом. 2025-2027</vt:lpstr>
      <vt:lpstr>Лист1</vt:lpstr>
      <vt:lpstr>Лист2</vt:lpstr>
      <vt:lpstr>'ведом. 2025-2027'!Заголовки_для_печати</vt:lpstr>
      <vt:lpstr>'Функц. 2025-2027'!Заголовки_для_печати</vt:lpstr>
      <vt:lpstr>'Целевые 2025-2027'!Заголовки_для_печати</vt:lpstr>
      <vt:lpstr>'ведом. 2025-2027'!Область_печати</vt:lpstr>
      <vt:lpstr>'Р., Пр.2025-2027'!Область_печати</vt:lpstr>
      <vt:lpstr>'Функц. 2025-2027'!Область_печати</vt:lpstr>
      <vt:lpstr>'Целевые 2025-2027'!Область_печати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Владелец</cp:lastModifiedBy>
  <cp:lastPrinted>2025-11-13T08:47:53Z</cp:lastPrinted>
  <dcterms:created xsi:type="dcterms:W3CDTF">2001-09-21T11:20:50Z</dcterms:created>
  <dcterms:modified xsi:type="dcterms:W3CDTF">2025-11-21T12:52:36Z</dcterms:modified>
</cp:coreProperties>
</file>